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norman.li\Downloads\"/>
    </mc:Choice>
  </mc:AlternateContent>
  <xr:revisionPtr revIDLastSave="0" documentId="13_ncr:1_{EC0D390D-21FB-4473-BF80-4BAEC923DC36}" xr6:coauthVersionLast="47" xr6:coauthVersionMax="47" xr10:uidLastSave="{00000000-0000-0000-0000-000000000000}"/>
  <bookViews>
    <workbookView xWindow="28680" yWindow="-120" windowWidth="29040" windowHeight="15840" tabRatio="500" xr2:uid="{00000000-000D-0000-FFFF-FFFF00000000}"/>
  </bookViews>
  <sheets>
    <sheet name="Instructions" sheetId="1" r:id="rId1"/>
    <sheet name="1_Normal_Model" sheetId="2" r:id="rId2"/>
    <sheet name="2_Issues_Returns" sheetId="3" r:id="rId3"/>
    <sheet name="3_Solver_Fit" sheetId="4" r:id="rId4"/>
  </sheets>
  <definedNames>
    <definedName name="solver_adj" localSheetId="3" hidden="1">'3_Solver_Fit'!$B$5:$B$7</definedName>
    <definedName name="solver_cvg" localSheetId="3" hidden="1">0.0001</definedName>
    <definedName name="solver_drv" localSheetId="3" hidden="1">2</definedName>
    <definedName name="solver_eng" localSheetId="2" hidden="1">1</definedName>
    <definedName name="solver_eng" localSheetId="3" hidden="1">1</definedName>
    <definedName name="solver_est" localSheetId="3" hidden="1">1</definedName>
    <definedName name="solver_itr" localSheetId="3" hidden="1">2147483647</definedName>
    <definedName name="solver_lhs1" localSheetId="3" hidden="1">'3_Solver_Fit'!$B$5</definedName>
    <definedName name="solver_lhs2" localSheetId="3" hidden="1">'3_Solver_Fit'!$B$5</definedName>
    <definedName name="solver_lhs3" localSheetId="3" hidden="1">'3_Solver_Fit'!$B$6</definedName>
    <definedName name="solver_lhs4" localSheetId="3" hidden="1">'3_Solver_Fit'!$B$6</definedName>
    <definedName name="solver_lhs5" localSheetId="3" hidden="1">'3_Solver_Fit'!$B$7</definedName>
    <definedName name="solver_lhs6" localSheetId="3" hidden="1">'3_Solver_Fit'!$B$7</definedName>
    <definedName name="solver_lhs7" localSheetId="3" hidden="1">'3_Solver_Fit'!$D$19</definedName>
    <definedName name="solver_mip" localSheetId="3" hidden="1">2147483647</definedName>
    <definedName name="solver_mni" localSheetId="3" hidden="1">30</definedName>
    <definedName name="solver_mrt" localSheetId="3" hidden="1">0.075</definedName>
    <definedName name="solver_msl" localSheetId="3" hidden="1">2</definedName>
    <definedName name="solver_neg" localSheetId="2" hidden="1">1</definedName>
    <definedName name="solver_neg" localSheetId="3" hidden="1">1</definedName>
    <definedName name="solver_nod" localSheetId="3" hidden="1">2147483647</definedName>
    <definedName name="solver_num" localSheetId="2" hidden="1">0</definedName>
    <definedName name="solver_num" localSheetId="3" hidden="1">6</definedName>
    <definedName name="solver_nwt" localSheetId="3" hidden="1">1</definedName>
    <definedName name="solver_opt" localSheetId="2" hidden="1">'2_Issues_Returns'!$B$65</definedName>
    <definedName name="solver_opt" localSheetId="3" hidden="1">'3_Solver_Fit'!$B$12</definedName>
    <definedName name="solver_pre" localSheetId="3" hidden="1">0.000001</definedName>
    <definedName name="solver_rbv" localSheetId="3" hidden="1">2</definedName>
    <definedName name="solver_rel1" localSheetId="3" hidden="1">1</definedName>
    <definedName name="solver_rel2" localSheetId="3" hidden="1">3</definedName>
    <definedName name="solver_rel3" localSheetId="3" hidden="1">1</definedName>
    <definedName name="solver_rel4" localSheetId="3" hidden="1">3</definedName>
    <definedName name="solver_rel5" localSheetId="3" hidden="1">1</definedName>
    <definedName name="solver_rel6" localSheetId="3" hidden="1">1</definedName>
    <definedName name="solver_rel7" localSheetId="3" hidden="1">3</definedName>
    <definedName name="solver_rhs1" localSheetId="3" hidden="1">'3_Solver_Fit'!$D$20</definedName>
    <definedName name="solver_rhs2" localSheetId="3" hidden="1">'3_Solver_Fit'!$D$19</definedName>
    <definedName name="solver_rhs3" localSheetId="3" hidden="1">'3_Solver_Fit'!$D$22</definedName>
    <definedName name="solver_rhs4" localSheetId="3" hidden="1">'3_Solver_Fit'!$D$21</definedName>
    <definedName name="solver_rhs5" localSheetId="3" hidden="1">'3_Solver_Fit'!$D$23</definedName>
    <definedName name="solver_rhs6" localSheetId="3" hidden="1">'3_Solver_Fit'!$D$24</definedName>
    <definedName name="solver_rhs7" localSheetId="3" hidden="1">0</definedName>
    <definedName name="solver_rlx" localSheetId="3" hidden="1">2</definedName>
    <definedName name="solver_rsd" localSheetId="3" hidden="1">0</definedName>
    <definedName name="solver_scl" localSheetId="3" hidden="1">2</definedName>
    <definedName name="solver_sho" localSheetId="3" hidden="1">2</definedName>
    <definedName name="solver_ssz" localSheetId="3" hidden="1">100</definedName>
    <definedName name="solver_tim" localSheetId="3" hidden="1">2147483647</definedName>
    <definedName name="solver_tol" localSheetId="3" hidden="1">0.01</definedName>
    <definedName name="solver_typ" localSheetId="2" hidden="1">1</definedName>
    <definedName name="solver_typ" localSheetId="3" hidden="1">2</definedName>
    <definedName name="solver_val" localSheetId="2" hidden="1">0</definedName>
    <definedName name="solver_val" localSheetId="3" hidden="1">0</definedName>
    <definedName name="solver_ver" localSheetId="2" hidden="1">3</definedName>
    <definedName name="solver_ver" localSheetId="3" hidden="1">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70" i="3" l="1"/>
  <c r="B69" i="3"/>
  <c r="N45" i="3"/>
  <c r="N46" i="3"/>
  <c r="N47" i="3"/>
  <c r="N48" i="3"/>
  <c r="N49" i="3"/>
  <c r="N50" i="3"/>
  <c r="N51" i="3"/>
  <c r="N52" i="3"/>
  <c r="N53" i="3"/>
  <c r="N54" i="3"/>
  <c r="N55" i="3"/>
  <c r="N56" i="3"/>
  <c r="N57" i="3"/>
  <c r="N58" i="3"/>
  <c r="N59" i="3"/>
  <c r="D9" i="3"/>
  <c r="E9" i="3"/>
  <c r="F9" i="3"/>
  <c r="G9" i="3"/>
  <c r="H9" i="3"/>
  <c r="F11" i="3"/>
  <c r="G11" i="3"/>
  <c r="H11" i="3"/>
  <c r="G12" i="3"/>
  <c r="H12" i="3"/>
  <c r="H13" i="3"/>
  <c r="E10" i="3"/>
  <c r="F10" i="3"/>
  <c r="G10" i="3"/>
  <c r="H10" i="3"/>
  <c r="B8" i="4"/>
  <c r="N44" i="3"/>
  <c r="N43" i="3"/>
  <c r="N42" i="3"/>
  <c r="N41" i="3"/>
  <c r="N40" i="3"/>
  <c r="N39" i="3"/>
  <c r="N38" i="3"/>
  <c r="N37" i="3"/>
  <c r="N36" i="3"/>
  <c r="N35" i="3"/>
  <c r="N34" i="3"/>
  <c r="N33" i="3"/>
  <c r="N32" i="3"/>
  <c r="N31" i="3"/>
  <c r="N30" i="3"/>
  <c r="N29" i="3"/>
  <c r="N28" i="3"/>
  <c r="N27" i="3"/>
  <c r="N26" i="3"/>
  <c r="N25" i="3"/>
  <c r="N24" i="3"/>
  <c r="N23" i="3"/>
  <c r="N22" i="3"/>
  <c r="N21" i="3"/>
  <c r="N20" i="3"/>
  <c r="N19" i="3"/>
  <c r="N18" i="3"/>
  <c r="N17" i="3"/>
  <c r="N16" i="3"/>
  <c r="N15" i="3"/>
  <c r="N14" i="3"/>
  <c r="N13" i="3"/>
  <c r="N12" i="3"/>
  <c r="N11" i="3"/>
  <c r="N10" i="3"/>
  <c r="N9" i="3"/>
  <c r="B8" i="2"/>
  <c r="B7" i="2"/>
  <c r="B5" i="2"/>
  <c r="C20" i="2" l="1"/>
  <c r="F19" i="2"/>
  <c r="F18" i="2"/>
  <c r="B17" i="2"/>
  <c r="B16" i="2"/>
  <c r="G15" i="2"/>
  <c r="C46" i="2"/>
  <c r="C42" i="2"/>
  <c r="B39" i="2"/>
  <c r="B33" i="2"/>
  <c r="C31" i="2"/>
  <c r="B28" i="2"/>
  <c r="C25" i="2"/>
  <c r="B23" i="2"/>
  <c r="B19" i="2"/>
  <c r="C18" i="2"/>
  <c r="C16" i="2"/>
  <c r="B15" i="2"/>
  <c r="G14" i="2"/>
  <c r="B46" i="2"/>
  <c r="C43" i="2"/>
  <c r="C40" i="2"/>
  <c r="C38" i="2"/>
  <c r="B36" i="2"/>
  <c r="C30" i="2"/>
  <c r="C24" i="2"/>
  <c r="G18" i="2"/>
  <c r="F16" i="2"/>
  <c r="C45" i="2"/>
  <c r="B43" i="2"/>
  <c r="B40" i="2"/>
  <c r="B38" i="2"/>
  <c r="C35" i="2"/>
  <c r="B32" i="2"/>
  <c r="B29" i="2"/>
  <c r="B27" i="2"/>
  <c r="B25" i="2"/>
  <c r="C23" i="2"/>
  <c r="B22" i="2"/>
  <c r="C19" i="2"/>
  <c r="B18" i="2"/>
  <c r="F17" i="2"/>
  <c r="G16" i="2"/>
  <c r="F15" i="2"/>
  <c r="F14" i="2"/>
  <c r="B45" i="2"/>
  <c r="B42" i="2"/>
  <c r="C39" i="2"/>
  <c r="C37" i="2"/>
  <c r="C44" i="2"/>
  <c r="B41" i="2"/>
  <c r="B37" i="2"/>
  <c r="B35" i="2"/>
  <c r="C34" i="2"/>
  <c r="B30" i="2"/>
  <c r="C27" i="2"/>
  <c r="B21" i="2"/>
  <c r="B20" i="2"/>
  <c r="G19" i="2"/>
  <c r="G17" i="2"/>
  <c r="C15" i="2"/>
  <c r="C14" i="2"/>
  <c r="C32" i="2"/>
  <c r="C29" i="2"/>
  <c r="C26" i="2"/>
  <c r="C33" i="2"/>
  <c r="B24" i="2"/>
  <c r="C22" i="2"/>
  <c r="B44" i="2"/>
  <c r="C41" i="2"/>
  <c r="C36" i="2"/>
  <c r="B34" i="2"/>
  <c r="B31" i="2"/>
  <c r="C28" i="2"/>
  <c r="B26" i="2"/>
  <c r="C21" i="2"/>
  <c r="C17" i="2"/>
  <c r="B14" i="2"/>
  <c r="H17" i="2" l="1"/>
  <c r="I17" i="2" s="1"/>
  <c r="F7" i="3" s="1"/>
  <c r="H19" i="2"/>
  <c r="I19" i="2" s="1"/>
  <c r="H7" i="3" s="1"/>
  <c r="H14" i="2"/>
  <c r="G20" i="2"/>
  <c r="H15" i="2"/>
  <c r="I15" i="2" s="1"/>
  <c r="D7" i="3" s="1"/>
  <c r="H18" i="2"/>
  <c r="I18" i="2" s="1"/>
  <c r="G7" i="3" s="1"/>
  <c r="H16" i="2"/>
  <c r="I16" i="2" s="1"/>
  <c r="E7" i="3" s="1"/>
  <c r="F39" i="3" l="1"/>
  <c r="F21" i="3"/>
  <c r="F31" i="3"/>
  <c r="F15" i="3"/>
  <c r="F27" i="3"/>
  <c r="F58" i="3"/>
  <c r="F24" i="3"/>
  <c r="F35" i="3"/>
  <c r="F33" i="3"/>
  <c r="F42" i="3"/>
  <c r="F17" i="3"/>
  <c r="F37" i="3"/>
  <c r="F38" i="3"/>
  <c r="F57" i="3"/>
  <c r="F40" i="3"/>
  <c r="F28" i="3"/>
  <c r="F41" i="3"/>
  <c r="F54" i="3"/>
  <c r="F32" i="3"/>
  <c r="F30" i="3"/>
  <c r="F20" i="3"/>
  <c r="F29" i="3"/>
  <c r="F34" i="3"/>
  <c r="F26" i="3"/>
  <c r="F48" i="3"/>
  <c r="F46" i="3"/>
  <c r="F45" i="3"/>
  <c r="F55" i="3"/>
  <c r="F43" i="3"/>
  <c r="F18" i="3"/>
  <c r="F49" i="3"/>
  <c r="F16" i="3"/>
  <c r="F47" i="3"/>
  <c r="F12" i="3"/>
  <c r="F22" i="3"/>
  <c r="F44" i="3"/>
  <c r="F36" i="3"/>
  <c r="F51" i="3"/>
  <c r="F23" i="3"/>
  <c r="F52" i="3"/>
  <c r="F19" i="3"/>
  <c r="F53" i="3"/>
  <c r="F13" i="3"/>
  <c r="F14" i="3"/>
  <c r="F59" i="3"/>
  <c r="F56" i="3"/>
  <c r="F50" i="3"/>
  <c r="F25" i="3"/>
  <c r="H41" i="3"/>
  <c r="H48" i="3"/>
  <c r="H21" i="3"/>
  <c r="H31" i="3"/>
  <c r="H20" i="3"/>
  <c r="H53" i="3"/>
  <c r="H50" i="3"/>
  <c r="H24" i="3"/>
  <c r="H49" i="3"/>
  <c r="H22" i="3"/>
  <c r="H43" i="3"/>
  <c r="H59" i="3"/>
  <c r="H19" i="3"/>
  <c r="H55" i="3"/>
  <c r="H46" i="3"/>
  <c r="H30" i="3"/>
  <c r="H45" i="3"/>
  <c r="H29" i="3"/>
  <c r="H27" i="3"/>
  <c r="H37" i="3"/>
  <c r="H23" i="3"/>
  <c r="H25" i="3"/>
  <c r="H14" i="3"/>
  <c r="H47" i="3"/>
  <c r="H51" i="3"/>
  <c r="H40" i="3"/>
  <c r="H38" i="3"/>
  <c r="H44" i="3"/>
  <c r="H26" i="3"/>
  <c r="H36" i="3"/>
  <c r="H39" i="3"/>
  <c r="H42" i="3"/>
  <c r="H16" i="3"/>
  <c r="H33" i="3"/>
  <c r="H15" i="3"/>
  <c r="H17" i="3"/>
  <c r="H56" i="3"/>
  <c r="H28" i="3"/>
  <c r="H52" i="3"/>
  <c r="H58" i="3"/>
  <c r="H35" i="3"/>
  <c r="H18" i="3"/>
  <c r="H32" i="3"/>
  <c r="H54" i="3"/>
  <c r="H34" i="3"/>
  <c r="H57" i="3"/>
  <c r="D41" i="3"/>
  <c r="D31" i="3"/>
  <c r="D52" i="3"/>
  <c r="D30" i="3"/>
  <c r="D44" i="3"/>
  <c r="D22" i="3"/>
  <c r="D57" i="3"/>
  <c r="D47" i="3"/>
  <c r="D45" i="3"/>
  <c r="D12" i="3"/>
  <c r="D17" i="3"/>
  <c r="D40" i="3"/>
  <c r="D21" i="3"/>
  <c r="D33" i="3"/>
  <c r="D25" i="3"/>
  <c r="D32" i="3"/>
  <c r="D27" i="3"/>
  <c r="D34" i="3"/>
  <c r="D35" i="3"/>
  <c r="D51" i="3"/>
  <c r="D46" i="3"/>
  <c r="D24" i="3"/>
  <c r="D56" i="3"/>
  <c r="D38" i="3"/>
  <c r="D28" i="3"/>
  <c r="D37" i="3"/>
  <c r="D14" i="3"/>
  <c r="D15" i="3"/>
  <c r="D16" i="3"/>
  <c r="D19" i="3"/>
  <c r="D23" i="3"/>
  <c r="D26" i="3"/>
  <c r="D43" i="3"/>
  <c r="D10" i="3"/>
  <c r="D54" i="3"/>
  <c r="D55" i="3"/>
  <c r="D59" i="3"/>
  <c r="D13" i="3"/>
  <c r="D11" i="3"/>
  <c r="D48" i="3"/>
  <c r="D42" i="3"/>
  <c r="D49" i="3"/>
  <c r="D50" i="3"/>
  <c r="D53" i="3"/>
  <c r="D58" i="3"/>
  <c r="D18" i="3"/>
  <c r="D20" i="3"/>
  <c r="D29" i="3"/>
  <c r="D36" i="3"/>
  <c r="D39" i="3"/>
  <c r="G13" i="3"/>
  <c r="G53" i="3"/>
  <c r="G55" i="3"/>
  <c r="G45" i="3"/>
  <c r="G16" i="3"/>
  <c r="G18" i="3"/>
  <c r="G46" i="3"/>
  <c r="G21" i="3"/>
  <c r="G19" i="3"/>
  <c r="G22" i="3"/>
  <c r="G31" i="3"/>
  <c r="G33" i="3"/>
  <c r="G34" i="3"/>
  <c r="G37" i="3"/>
  <c r="G47" i="3"/>
  <c r="G49" i="3"/>
  <c r="G50" i="3"/>
  <c r="G27" i="3"/>
  <c r="G44" i="3"/>
  <c r="G56" i="3"/>
  <c r="G35" i="3"/>
  <c r="G29" i="3"/>
  <c r="G39" i="3"/>
  <c r="G43" i="3"/>
  <c r="G38" i="3"/>
  <c r="G15" i="3"/>
  <c r="G23" i="3"/>
  <c r="G20" i="3"/>
  <c r="G51" i="3"/>
  <c r="G26" i="3"/>
  <c r="G54" i="3"/>
  <c r="G52" i="3"/>
  <c r="G58" i="3"/>
  <c r="G59" i="3"/>
  <c r="G28" i="3"/>
  <c r="G14" i="3"/>
  <c r="G17" i="3"/>
  <c r="G30" i="3"/>
  <c r="G57" i="3"/>
  <c r="G24" i="3"/>
  <c r="G25" i="3"/>
  <c r="G40" i="3"/>
  <c r="G32" i="3"/>
  <c r="G41" i="3"/>
  <c r="G36" i="3"/>
  <c r="G48" i="3"/>
  <c r="G42" i="3"/>
  <c r="E52" i="3"/>
  <c r="E53" i="3"/>
  <c r="E48" i="3"/>
  <c r="E31" i="3"/>
  <c r="E34" i="3"/>
  <c r="E58" i="3"/>
  <c r="E44" i="3"/>
  <c r="E50" i="3"/>
  <c r="E12" i="3"/>
  <c r="E55" i="3"/>
  <c r="E18" i="3"/>
  <c r="E21" i="3"/>
  <c r="E15" i="3"/>
  <c r="E51" i="3"/>
  <c r="E35" i="3"/>
  <c r="E54" i="3"/>
  <c r="E11" i="3"/>
  <c r="E39" i="3"/>
  <c r="E24" i="3"/>
  <c r="E25" i="3"/>
  <c r="E42" i="3"/>
  <c r="E56" i="3"/>
  <c r="E57" i="3"/>
  <c r="E20" i="3"/>
  <c r="E17" i="3"/>
  <c r="E22" i="3"/>
  <c r="E19" i="3"/>
  <c r="E13" i="3"/>
  <c r="E14" i="3"/>
  <c r="E49" i="3"/>
  <c r="E30" i="3"/>
  <c r="E27" i="3"/>
  <c r="E28" i="3"/>
  <c r="E29" i="3"/>
  <c r="E23" i="3"/>
  <c r="E32" i="3"/>
  <c r="E59" i="3"/>
  <c r="E26" i="3"/>
  <c r="E40" i="3"/>
  <c r="E41" i="3"/>
  <c r="E33" i="3"/>
  <c r="E36" i="3"/>
  <c r="E37" i="3"/>
  <c r="E38" i="3"/>
  <c r="E43" i="3"/>
  <c r="E47" i="3"/>
  <c r="E45" i="3"/>
  <c r="E46" i="3"/>
  <c r="E16" i="3"/>
  <c r="I14" i="2"/>
  <c r="H20" i="2"/>
  <c r="I20" i="2" l="1"/>
  <c r="C7" i="3"/>
  <c r="C36" i="3" l="1"/>
  <c r="I36" i="3" s="1"/>
  <c r="K36" i="3" s="1"/>
  <c r="L36" i="3" s="1"/>
  <c r="M36" i="3" s="1"/>
  <c r="C48" i="3"/>
  <c r="I48" i="3" s="1"/>
  <c r="K48" i="3" s="1"/>
  <c r="L48" i="3" s="1"/>
  <c r="M48" i="3" s="1"/>
  <c r="C52" i="3"/>
  <c r="I52" i="3" s="1"/>
  <c r="K52" i="3" s="1"/>
  <c r="L52" i="3" s="1"/>
  <c r="M52" i="3" s="1"/>
  <c r="C24" i="3"/>
  <c r="I24" i="3" s="1"/>
  <c r="K24" i="3" s="1"/>
  <c r="L24" i="3" s="1"/>
  <c r="M24" i="3" s="1"/>
  <c r="C34" i="3"/>
  <c r="I34" i="3" s="1"/>
  <c r="K34" i="3" s="1"/>
  <c r="L34" i="3" s="1"/>
  <c r="M34" i="3" s="1"/>
  <c r="C38" i="3"/>
  <c r="I38" i="3" s="1"/>
  <c r="K38" i="3" s="1"/>
  <c r="L38" i="3" s="1"/>
  <c r="M38" i="3" s="1"/>
  <c r="C54" i="3"/>
  <c r="I54" i="3" s="1"/>
  <c r="K54" i="3" s="1"/>
  <c r="L54" i="3" s="1"/>
  <c r="M54" i="3" s="1"/>
  <c r="C55" i="3"/>
  <c r="I55" i="3" s="1"/>
  <c r="K55" i="3" s="1"/>
  <c r="L55" i="3" s="1"/>
  <c r="M55" i="3" s="1"/>
  <c r="C56" i="3"/>
  <c r="I56" i="3" s="1"/>
  <c r="K56" i="3" s="1"/>
  <c r="L56" i="3" s="1"/>
  <c r="M56" i="3" s="1"/>
  <c r="C57" i="3"/>
  <c r="I57" i="3" s="1"/>
  <c r="K57" i="3" s="1"/>
  <c r="L57" i="3" s="1"/>
  <c r="M57" i="3" s="1"/>
  <c r="C58" i="3"/>
  <c r="I58" i="3" s="1"/>
  <c r="K58" i="3" s="1"/>
  <c r="L58" i="3" s="1"/>
  <c r="M58" i="3" s="1"/>
  <c r="C59" i="3"/>
  <c r="I59" i="3" s="1"/>
  <c r="K59" i="3" s="1"/>
  <c r="L59" i="3" s="1"/>
  <c r="M59" i="3" s="1"/>
  <c r="C9" i="3"/>
  <c r="I9" i="3" s="1"/>
  <c r="K9" i="3" s="1"/>
  <c r="C20" i="3"/>
  <c r="I20" i="3" s="1"/>
  <c r="K20" i="3" s="1"/>
  <c r="L20" i="3" s="1"/>
  <c r="M20" i="3" s="1"/>
  <c r="C22" i="3"/>
  <c r="I22" i="3" s="1"/>
  <c r="K22" i="3" s="1"/>
  <c r="L22" i="3" s="1"/>
  <c r="M22" i="3" s="1"/>
  <c r="C23" i="3"/>
  <c r="I23" i="3" s="1"/>
  <c r="K23" i="3" s="1"/>
  <c r="L23" i="3" s="1"/>
  <c r="M23" i="3" s="1"/>
  <c r="C25" i="3"/>
  <c r="I25" i="3" s="1"/>
  <c r="K25" i="3" s="1"/>
  <c r="L25" i="3" s="1"/>
  <c r="M25" i="3" s="1"/>
  <c r="C26" i="3"/>
  <c r="I26" i="3" s="1"/>
  <c r="K26" i="3" s="1"/>
  <c r="L26" i="3" s="1"/>
  <c r="M26" i="3" s="1"/>
  <c r="C39" i="3"/>
  <c r="I39" i="3" s="1"/>
  <c r="K39" i="3" s="1"/>
  <c r="L39" i="3" s="1"/>
  <c r="M39" i="3" s="1"/>
  <c r="C49" i="3"/>
  <c r="I49" i="3" s="1"/>
  <c r="K49" i="3" s="1"/>
  <c r="L49" i="3" s="1"/>
  <c r="M49" i="3" s="1"/>
  <c r="C43" i="3"/>
  <c r="I43" i="3" s="1"/>
  <c r="K43" i="3" s="1"/>
  <c r="L43" i="3" s="1"/>
  <c r="M43" i="3" s="1"/>
  <c r="C46" i="3"/>
  <c r="I46" i="3" s="1"/>
  <c r="K46" i="3" s="1"/>
  <c r="L46" i="3" s="1"/>
  <c r="M46" i="3" s="1"/>
  <c r="C51" i="3"/>
  <c r="I51" i="3" s="1"/>
  <c r="K51" i="3" s="1"/>
  <c r="L51" i="3" s="1"/>
  <c r="M51" i="3" s="1"/>
  <c r="C11" i="3"/>
  <c r="I11" i="3" s="1"/>
  <c r="K11" i="3" s="1"/>
  <c r="L11" i="3" s="1"/>
  <c r="M11" i="3" s="1"/>
  <c r="C12" i="3"/>
  <c r="I12" i="3" s="1"/>
  <c r="K12" i="3" s="1"/>
  <c r="L12" i="3" s="1"/>
  <c r="M12" i="3" s="1"/>
  <c r="C13" i="3"/>
  <c r="I13" i="3" s="1"/>
  <c r="K13" i="3" s="1"/>
  <c r="L13" i="3" s="1"/>
  <c r="M13" i="3" s="1"/>
  <c r="C18" i="3"/>
  <c r="I18" i="3" s="1"/>
  <c r="K18" i="3" s="1"/>
  <c r="L18" i="3" s="1"/>
  <c r="M18" i="3" s="1"/>
  <c r="C21" i="3"/>
  <c r="I21" i="3" s="1"/>
  <c r="K21" i="3" s="1"/>
  <c r="L21" i="3" s="1"/>
  <c r="M21" i="3" s="1"/>
  <c r="C29" i="3"/>
  <c r="I29" i="3" s="1"/>
  <c r="K29" i="3" s="1"/>
  <c r="L29" i="3" s="1"/>
  <c r="M29" i="3" s="1"/>
  <c r="C33" i="3"/>
  <c r="I33" i="3" s="1"/>
  <c r="K33" i="3" s="1"/>
  <c r="L33" i="3" s="1"/>
  <c r="M33" i="3" s="1"/>
  <c r="C42" i="3"/>
  <c r="I42" i="3" s="1"/>
  <c r="K42" i="3" s="1"/>
  <c r="L42" i="3" s="1"/>
  <c r="M42" i="3" s="1"/>
  <c r="C44" i="3"/>
  <c r="I44" i="3" s="1"/>
  <c r="K44" i="3" s="1"/>
  <c r="L44" i="3" s="1"/>
  <c r="M44" i="3" s="1"/>
  <c r="C45" i="3"/>
  <c r="I45" i="3" s="1"/>
  <c r="K45" i="3" s="1"/>
  <c r="L45" i="3" s="1"/>
  <c r="M45" i="3" s="1"/>
  <c r="C53" i="3"/>
  <c r="I53" i="3" s="1"/>
  <c r="K53" i="3" s="1"/>
  <c r="L53" i="3" s="1"/>
  <c r="M53" i="3" s="1"/>
  <c r="C16" i="3"/>
  <c r="I16" i="3" s="1"/>
  <c r="K16" i="3" s="1"/>
  <c r="L16" i="3" s="1"/>
  <c r="M16" i="3" s="1"/>
  <c r="C17" i="3"/>
  <c r="I17" i="3" s="1"/>
  <c r="K17" i="3" s="1"/>
  <c r="L17" i="3" s="1"/>
  <c r="M17" i="3" s="1"/>
  <c r="C27" i="3"/>
  <c r="I27" i="3" s="1"/>
  <c r="K27" i="3" s="1"/>
  <c r="L27" i="3" s="1"/>
  <c r="M27" i="3" s="1"/>
  <c r="C32" i="3"/>
  <c r="I32" i="3" s="1"/>
  <c r="K32" i="3" s="1"/>
  <c r="L32" i="3" s="1"/>
  <c r="M32" i="3" s="1"/>
  <c r="C37" i="3"/>
  <c r="I37" i="3" s="1"/>
  <c r="K37" i="3" s="1"/>
  <c r="L37" i="3" s="1"/>
  <c r="M37" i="3" s="1"/>
  <c r="C50" i="3"/>
  <c r="I50" i="3" s="1"/>
  <c r="K50" i="3" s="1"/>
  <c r="L50" i="3" s="1"/>
  <c r="M50" i="3" s="1"/>
  <c r="C14" i="3"/>
  <c r="I14" i="3" s="1"/>
  <c r="K14" i="3" s="1"/>
  <c r="C15" i="3"/>
  <c r="I15" i="3" s="1"/>
  <c r="K15" i="3" s="1"/>
  <c r="C19" i="3"/>
  <c r="I19" i="3" s="1"/>
  <c r="K19" i="3" s="1"/>
  <c r="L19" i="3" s="1"/>
  <c r="M19" i="3" s="1"/>
  <c r="C28" i="3"/>
  <c r="I28" i="3" s="1"/>
  <c r="K28" i="3" s="1"/>
  <c r="L28" i="3" s="1"/>
  <c r="M28" i="3" s="1"/>
  <c r="C30" i="3"/>
  <c r="I30" i="3" s="1"/>
  <c r="K30" i="3" s="1"/>
  <c r="L30" i="3" s="1"/>
  <c r="M30" i="3" s="1"/>
  <c r="C31" i="3"/>
  <c r="I31" i="3" s="1"/>
  <c r="K31" i="3" s="1"/>
  <c r="L31" i="3" s="1"/>
  <c r="M31" i="3" s="1"/>
  <c r="C35" i="3"/>
  <c r="I35" i="3" s="1"/>
  <c r="K35" i="3" s="1"/>
  <c r="L35" i="3" s="1"/>
  <c r="M35" i="3" s="1"/>
  <c r="C40" i="3"/>
  <c r="I40" i="3" s="1"/>
  <c r="K40" i="3" s="1"/>
  <c r="L40" i="3" s="1"/>
  <c r="M40" i="3" s="1"/>
  <c r="C41" i="3"/>
  <c r="I41" i="3" s="1"/>
  <c r="K41" i="3" s="1"/>
  <c r="L41" i="3" s="1"/>
  <c r="M41" i="3" s="1"/>
  <c r="C47" i="3"/>
  <c r="I47" i="3" s="1"/>
  <c r="K47" i="3" s="1"/>
  <c r="L47" i="3" s="1"/>
  <c r="M47" i="3" s="1"/>
  <c r="C10" i="3"/>
  <c r="I10" i="3" s="1"/>
  <c r="K10" i="3" s="1"/>
  <c r="L10" i="3" s="1"/>
  <c r="M10" i="3" s="1"/>
  <c r="L14" i="3" l="1"/>
  <c r="B65" i="3"/>
  <c r="B68" i="3" s="1"/>
  <c r="B67" i="3"/>
  <c r="B14" i="4" s="1"/>
  <c r="L9" i="3"/>
  <c r="L15" i="3"/>
  <c r="B66" i="3" l="1"/>
  <c r="B13" i="4" s="1"/>
  <c r="M14" i="3"/>
  <c r="M9" i="3"/>
  <c r="B12" i="4"/>
  <c r="M15" i="3"/>
  <c r="B71" i="3" l="1"/>
  <c r="B15" i="4"/>
</calcChain>
</file>

<file path=xl/sharedStrings.xml><?xml version="1.0" encoding="utf-8"?>
<sst xmlns="http://schemas.openxmlformats.org/spreadsheetml/2006/main" count="174" uniqueCount="160">
  <si>
    <t>Excel Solver worked example — fitting a returns-lag distribution</t>
  </si>
  <si>
    <t>What this workbook does</t>
  </si>
  <si>
    <t>Units are issued each week and come back over the following weeks. The share coming back at each lag is</t>
  </si>
  <si>
    <t>modelled as a normal distribution. Solver searches for the mean, the variance and the recovery rate that</t>
  </si>
  <si>
    <t>make the forecast returns line up with the actual returns, measured by RMSE (root-mean-square error).</t>
  </si>
  <si>
    <t>Sheet guide</t>
  </si>
  <si>
    <t>1_Normal_Model</t>
  </si>
  <si>
    <t>The normal distribution itself: PDF, CDF, and the discrete weekly lag weights derived from it.</t>
  </si>
  <si>
    <t>2_Issues_Returns</t>
  </si>
  <si>
    <t>Weekly issues, the lag-weight convolution that builds the forecast, actual returns, and the fit statistics.</t>
  </si>
  <si>
    <t>3_Solver_Fit</t>
  </si>
  <si>
    <t>The Solver control panel — every cell Solver touches lives here. Run Solver from this sheet.</t>
  </si>
  <si>
    <t>Before you start: switch the Solver add-in on</t>
  </si>
  <si>
    <t>Windows:  File &gt; Options &gt; Add-ins &gt; Manage: Excel Add-ins &gt; Go... &gt; tick 'Solver Add-in' &gt; OK.</t>
  </si>
  <si>
    <t>Mac:  Tools &gt; Excel Add-ins... &gt; tick 'Solver Add-in' &gt; OK.</t>
  </si>
  <si>
    <t>Solver then appears on the Data tab, at the far right.</t>
  </si>
  <si>
    <t>The three steps you asked for</t>
  </si>
  <si>
    <t>1.</t>
  </si>
  <si>
    <t>Normal distribution model with mean and variance as inputs  -&gt;  sheet 1_Normal_Model.</t>
  </si>
  <si>
    <t>2.</t>
  </si>
  <si>
    <t>Issues spread over the following weeks by that distribution  -&gt;  sheet 2_Issues_Returns.</t>
  </si>
  <si>
    <t>3.</t>
  </si>
  <si>
    <t>Solver minimises the RMSE of the forecast returns  -&gt;  sheet 3_Solver_Fit.</t>
  </si>
  <si>
    <t>About the data</t>
  </si>
  <si>
    <t>The issues and actual returns are synthetic, generated in Python for this example. The generator used a</t>
  </si>
  <si>
    <t>mean lag of 2.40 weeks, a standard deviation of 1.10 weeks (variance 1.21), a recovery rate of 92%, and</t>
  </si>
  <si>
    <t>3% random noise on each week's returns. Solver should recover values close to these, not exactly equal to</t>
  </si>
  <si>
    <t>them — the noise is what stops a perfect fit. Replace columns B and J on sheet 2 with your own data and</t>
  </si>
  <si>
    <t>the whole model re-fits.</t>
  </si>
  <si>
    <t>Colour convention</t>
  </si>
  <si>
    <t>Blue text = hardcoded input you can overwrite.  Black = formula.  Green = link to another sheet.</t>
  </si>
  <si>
    <t>Yellow fill = a cell Solver is allowed to change.</t>
  </si>
  <si>
    <t>Step 1 — Normal distribution model</t>
  </si>
  <si>
    <t>Mean and variance are the Solver decision variables and live on sheet 3_Solver_Fit. Change them there and everything below updates.</t>
  </si>
  <si>
    <t>Parameters</t>
  </si>
  <si>
    <t>Mean lag, μ (weeks)</t>
  </si>
  <si>
    <t>Decision variable</t>
  </si>
  <si>
    <t>Variance, σ² (weeks²)</t>
  </si>
  <si>
    <t>Std deviation, σ</t>
  </si>
  <si>
    <t>Derived: σ = SQRT(variance)</t>
  </si>
  <si>
    <t>Recovery rate, r</t>
  </si>
  <si>
    <t>Share of issues that ever come back</t>
  </si>
  <si>
    <t>Maximum lag, N (weeks)</t>
  </si>
  <si>
    <t>Must match the number of lag columns on sheet 2</t>
  </si>
  <si>
    <t>Continuous normal curve</t>
  </si>
  <si>
    <t>Discrete weekly lag weights  (this is what the forecast actually uses)</t>
  </si>
  <si>
    <t>x (weeks)</t>
  </si>
  <si>
    <t>PDF  f(x)</t>
  </si>
  <si>
    <t>CDF  F(x)</t>
  </si>
  <si>
    <t>Lag k (weeks)</t>
  </si>
  <si>
    <t>F(k)</t>
  </si>
  <si>
    <t>F(k) - F(k-1)</t>
  </si>
  <si>
    <t>Normalised</t>
  </si>
  <si>
    <t>Final weight  = normalised x r</t>
  </si>
  <si>
    <t>Total</t>
  </si>
  <si>
    <t>Column H rescales the raw probabilities so the first N weeks sum to 100%; column I then scales by the</t>
  </si>
  <si>
    <t>recovery rate r, so the final weights sum to r. Probability mass beyond week N is treated as never returned.</t>
  </si>
  <si>
    <t>Step 2 — Spreading each week's issues over the following weeks</t>
  </si>
  <si>
    <t>Forecast returns in week t  =  sum over k of  Issues(t-k+1) x weight(k).  Lag 1 means 'returned in the same week it was issued'.</t>
  </si>
  <si>
    <t>Lag k →</t>
  </si>
  <si>
    <t>Weight →</t>
  </si>
  <si>
    <t>← live links to the fitted weights on sheet 1</t>
  </si>
  <si>
    <t>Week</t>
  </si>
  <si>
    <t>Issues</t>
  </si>
  <si>
    <t>Lag 1</t>
  </si>
  <si>
    <t>Lag 2</t>
  </si>
  <si>
    <t>Lag 3</t>
  </si>
  <si>
    <t>Lag 4</t>
  </si>
  <si>
    <t>Lag 5</t>
  </si>
  <si>
    <t>Lag 6</t>
  </si>
  <si>
    <t>Forecast returns</t>
  </si>
  <si>
    <t>Actual returns</t>
  </si>
  <si>
    <t>Error (F - A)</t>
  </si>
  <si>
    <t>|Error|</t>
  </si>
  <si>
    <t>In fit?</t>
  </si>
  <si>
    <t>Fit statistics</t>
  </si>
  <si>
    <t>Observations in the fit window, n</t>
  </si>
  <si>
    <t>Weeks 1-6 have no actual returns yet, so they are excluded automatically.</t>
  </si>
  <si>
    <t>RMSE  (Solver objective — minimise this)</t>
  </si>
  <si>
    <t>Root-mean-square error of the forecast, in units.</t>
  </si>
  <si>
    <t>MAE  (mean absolute error)</t>
  </si>
  <si>
    <t>Bias (mean error, F - A)</t>
  </si>
  <si>
    <t>Positive = over-forecasting returns.</t>
  </si>
  <si>
    <t>RMSE as % of mean actual returns</t>
  </si>
  <si>
    <t>Total issues, weeks in fit window</t>
  </si>
  <si>
    <t>Total actual returns observed</t>
  </si>
  <si>
    <t>Step 3 — Solver control panel</t>
  </si>
  <si>
    <t>Every cell Solver reads or writes is on this sheet. Open Data &gt; Solver with this sheet active.</t>
  </si>
  <si>
    <t>1.  Variable cells  (Solver: 'By Changing Variable Cells')</t>
  </si>
  <si>
    <t>Average number of weeks from issue to return</t>
  </si>
  <si>
    <t>Spread of the return lag</t>
  </si>
  <si>
    <t>Derived: σ = SQRT(σ²)</t>
  </si>
  <si>
    <t>Solver changes the variance; sigma follows from it</t>
  </si>
  <si>
    <t>Paste this into Solver:</t>
  </si>
  <si>
    <t>$B$5:$B$7</t>
  </si>
  <si>
    <t>2.  Objective cell  (Solver: 'Set Objective', To: Min)</t>
  </si>
  <si>
    <t>RMSE of forecast returns</t>
  </si>
  <si>
    <t>← this is the cell to minimise:  $B$12</t>
  </si>
  <si>
    <t>MAE</t>
  </si>
  <si>
    <t>Bias (F - A)</t>
  </si>
  <si>
    <t>RMSE as % of mean actual</t>
  </si>
  <si>
    <t>3.  Constraints  (Solver: 'Subject to the Constraints' — Add each line)</t>
  </si>
  <si>
    <t>Cell Reference</t>
  </si>
  <si>
    <t>Relation</t>
  </si>
  <si>
    <t>Constraint</t>
  </si>
  <si>
    <t>Bound value</t>
  </si>
  <si>
    <t>Why</t>
  </si>
  <si>
    <t>$B$5</t>
  </si>
  <si>
    <t>&gt;=</t>
  </si>
  <si>
    <t>$D$19</t>
  </si>
  <si>
    <t>Mean lag must be positive</t>
  </si>
  <si>
    <t>&lt;=</t>
  </si>
  <si>
    <t>$D$20</t>
  </si>
  <si>
    <t>Cannot exceed the maximum lag modelled</t>
  </si>
  <si>
    <t>$B$6</t>
  </si>
  <si>
    <t>$D$21</t>
  </si>
  <si>
    <t>Variance must be positive, or sigma is undefined</t>
  </si>
  <si>
    <t>$D$22</t>
  </si>
  <si>
    <t>Keeps the search in a sensible range</t>
  </si>
  <si>
    <t>$B$7</t>
  </si>
  <si>
    <t>$D$23</t>
  </si>
  <si>
    <t>At least half of issues come back</t>
  </si>
  <si>
    <t>$D$24</t>
  </si>
  <si>
    <t>Cannot return more than was issued</t>
  </si>
  <si>
    <t>4.  Solver dialog settings</t>
  </si>
  <si>
    <t>Set Objective</t>
  </si>
  <si>
    <t>$B$12</t>
  </si>
  <si>
    <t>To</t>
  </si>
  <si>
    <t>Min</t>
  </si>
  <si>
    <t>By Changing Variable Cells</t>
  </si>
  <si>
    <t>Constraints</t>
  </si>
  <si>
    <t>the six lines in the table above</t>
  </si>
  <si>
    <t>Solving Method</t>
  </si>
  <si>
    <t>GRG Nonlinear   (the model is non-linear in mu and sigma)</t>
  </si>
  <si>
    <t>Make Unconstrained Variables Non-Negative</t>
  </si>
  <si>
    <t>leave ticked — the explicit bounds do the real work</t>
  </si>
  <si>
    <t>Options &gt; Convergence</t>
  </si>
  <si>
    <t>0.000001</t>
  </si>
  <si>
    <t>Options &gt; Use Multistart</t>
  </si>
  <si>
    <t>tick it if the answer looks like it stopped early</t>
  </si>
  <si>
    <t>Then click Solve, and keep the Solver solution when the results dialog appears.</t>
  </si>
  <si>
    <t>5.  Results log  (type the fitted values in yourself after Solver finishes)</t>
  </si>
  <si>
    <t>Parameter</t>
  </si>
  <si>
    <t>Starting value</t>
  </si>
  <si>
    <t>After Solver — fill in</t>
  </si>
  <si>
    <t>Value used to generate the data</t>
  </si>
  <si>
    <t>Mean lag, μ</t>
  </si>
  <si>
    <t>Variance, σ²</t>
  </si>
  <si>
    <t>RMSE</t>
  </si>
  <si>
    <t>noise sets a floor — RMSE cannot reach zero</t>
  </si>
  <si>
    <t>Expected result: Solver should land near mu = 2.4, variance = 1.0 to 1.2, r = 92%, RMSE about 20 (from 99 at the start).</t>
  </si>
  <si>
    <t>6.  If something goes wrong</t>
  </si>
  <si>
    <t>Solver returns the starting values unchanged  -&gt;  the objective is not connected. Change B5 by hand and check B12 moves.</t>
  </si>
  <si>
    <t>'Solver could not find a feasible solution'  -&gt;  a bound in column D contradicts another; widen the range.</t>
  </si>
  <si>
    <t>Answer looks wrong or stops early  -&gt;  GRG is a local method. Re-run from a different start (mu = 1 or mu = 5), or tick Use Multistart.</t>
  </si>
  <si>
    <t>RMSE will not go to zero  -&gt;  correct. The data carries 3% random noise, so a residual RMSE is the honest result.</t>
  </si>
  <si>
    <t>To fix a parameter instead of fitting it  -&gt;  remove it from the changing-cells range and type the value you want.</t>
  </si>
  <si>
    <t>Solver settings are not saved in this file — Excel stores them per sheet once you enter them, so set the dialog up once.</t>
  </si>
  <si>
    <t>error%</t>
  </si>
  <si>
    <t>Average Error 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</si>
</sst>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0.000"/>
    <numFmt numFmtId="165" formatCode="0.0%"/>
    <numFmt numFmtId="166" formatCode="0.0000"/>
    <numFmt numFmtId="167" formatCode="#,##0;\(#,##0\);\-"/>
    <numFmt numFmtId="168" formatCode="#,##0.0"/>
    <numFmt numFmtId="169" formatCode="_-* #,##0_-;\-* #,##0_-;_-* &quot;-&quot;??_-;_-@_-"/>
  </numFmts>
  <fonts count="10" x14ac:knownFonts="1">
    <font>
      <sz val="11"/>
      <color theme="1"/>
      <name val="Calibri"/>
      <family val="2"/>
      <charset val="1"/>
    </font>
    <font>
      <sz val="10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9"/>
      <color rgb="FF808080"/>
      <name val="Arial"/>
      <family val="2"/>
    </font>
    <font>
      <sz val="10"/>
      <color rgb="FF008000"/>
      <name val="Arial"/>
      <family val="2"/>
    </font>
    <font>
      <sz val="10"/>
      <color rgb="FF0000FF"/>
      <name val="Arial"/>
      <family val="2"/>
    </font>
    <font>
      <b/>
      <sz val="10"/>
      <color rgb="FFFFFFFF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1F3864"/>
        <bgColor rgb="FF333333"/>
      </patternFill>
    </fill>
    <fill>
      <patternFill patternType="solid">
        <fgColor rgb="FFEDEDED"/>
        <bgColor rgb="FFD9E1F2"/>
      </patternFill>
    </fill>
    <fill>
      <patternFill patternType="solid">
        <fgColor rgb="FFD9E1F2"/>
        <bgColor rgb="FFD9D9D9"/>
      </patternFill>
    </fill>
    <fill>
      <patternFill patternType="solid">
        <fgColor rgb="FFFFFF00"/>
        <bgColor rgb="FFFFFF00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3">
    <xf numFmtId="0" fontId="0" fillId="0" borderId="0"/>
    <xf numFmtId="43" fontId="1" fillId="0" borderId="0" applyBorder="0" applyAlignment="0" applyProtection="0"/>
    <xf numFmtId="9" fontId="1" fillId="0" borderId="0" applyBorder="0" applyAlignment="0" applyProtection="0"/>
  </cellStyleXfs>
  <cellXfs count="5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164" fontId="7" fillId="0" borderId="1" xfId="0" applyNumberFormat="1" applyFont="1" applyBorder="1"/>
    <xf numFmtId="164" fontId="4" fillId="0" borderId="1" xfId="0" applyNumberFormat="1" applyFont="1" applyBorder="1"/>
    <xf numFmtId="165" fontId="7" fillId="0" borderId="1" xfId="0" applyNumberFormat="1" applyFont="1" applyBorder="1"/>
    <xf numFmtId="1" fontId="8" fillId="0" borderId="1" xfId="0" applyNumberFormat="1" applyFont="1" applyBorder="1"/>
    <xf numFmtId="0" fontId="9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 wrapText="1"/>
    </xf>
    <xf numFmtId="2" fontId="8" fillId="0" borderId="0" xfId="0" applyNumberFormat="1" applyFont="1"/>
    <xf numFmtId="166" fontId="4" fillId="0" borderId="0" xfId="0" applyNumberFormat="1" applyFont="1"/>
    <xf numFmtId="0" fontId="4" fillId="0" borderId="1" xfId="0" applyFont="1" applyBorder="1"/>
    <xf numFmtId="166" fontId="4" fillId="0" borderId="1" xfId="0" applyNumberFormat="1" applyFont="1" applyBorder="1"/>
    <xf numFmtId="10" fontId="4" fillId="0" borderId="1" xfId="0" applyNumberFormat="1" applyFont="1" applyBorder="1"/>
    <xf numFmtId="10" fontId="5" fillId="0" borderId="1" xfId="0" applyNumberFormat="1" applyFont="1" applyBorder="1"/>
    <xf numFmtId="0" fontId="5" fillId="3" borderId="0" xfId="0" applyFont="1" applyFill="1"/>
    <xf numFmtId="166" fontId="5" fillId="3" borderId="0" xfId="0" applyNumberFormat="1" applyFont="1" applyFill="1"/>
    <xf numFmtId="10" fontId="5" fillId="3" borderId="0" xfId="0" applyNumberFormat="1" applyFont="1" applyFill="1"/>
    <xf numFmtId="0" fontId="4" fillId="0" borderId="0" xfId="0" applyFont="1" applyAlignment="1">
      <alignment horizontal="center"/>
    </xf>
    <xf numFmtId="10" fontId="7" fillId="4" borderId="1" xfId="0" applyNumberFormat="1" applyFont="1" applyFill="1" applyBorder="1"/>
    <xf numFmtId="3" fontId="8" fillId="0" borderId="1" xfId="0" applyNumberFormat="1" applyFont="1" applyBorder="1"/>
    <xf numFmtId="3" fontId="4" fillId="0" borderId="1" xfId="0" applyNumberFormat="1" applyFont="1" applyBorder="1"/>
    <xf numFmtId="3" fontId="5" fillId="0" borderId="1" xfId="0" applyNumberFormat="1" applyFont="1" applyBorder="1"/>
    <xf numFmtId="3" fontId="0" fillId="0" borderId="1" xfId="0" applyNumberFormat="1" applyBorder="1"/>
    <xf numFmtId="167" fontId="4" fillId="0" borderId="1" xfId="0" applyNumberFormat="1" applyFont="1" applyBorder="1"/>
    <xf numFmtId="1" fontId="4" fillId="0" borderId="1" xfId="0" applyNumberFormat="1" applyFont="1" applyBorder="1" applyAlignment="1">
      <alignment horizontal="center"/>
    </xf>
    <xf numFmtId="1" fontId="4" fillId="0" borderId="1" xfId="0" applyNumberFormat="1" applyFont="1" applyBorder="1"/>
    <xf numFmtId="168" fontId="5" fillId="4" borderId="1" xfId="0" applyNumberFormat="1" applyFont="1" applyFill="1" applyBorder="1"/>
    <xf numFmtId="168" fontId="4" fillId="0" borderId="1" xfId="0" applyNumberFormat="1" applyFont="1" applyBorder="1"/>
    <xf numFmtId="165" fontId="4" fillId="0" borderId="1" xfId="0" applyNumberFormat="1" applyFont="1" applyBorder="1"/>
    <xf numFmtId="0" fontId="3" fillId="3" borderId="0" xfId="0" applyFont="1" applyFill="1"/>
    <xf numFmtId="164" fontId="8" fillId="5" borderId="1" xfId="0" applyNumberFormat="1" applyFont="1" applyFill="1" applyBorder="1"/>
    <xf numFmtId="165" fontId="8" fillId="5" borderId="1" xfId="0" applyNumberFormat="1" applyFont="1" applyFill="1" applyBorder="1"/>
    <xf numFmtId="168" fontId="7" fillId="0" borderId="1" xfId="0" applyNumberFormat="1" applyFont="1" applyBorder="1"/>
    <xf numFmtId="0" fontId="4" fillId="0" borderId="1" xfId="0" applyFont="1" applyBorder="1" applyAlignment="1">
      <alignment horizontal="center"/>
    </xf>
    <xf numFmtId="2" fontId="8" fillId="0" borderId="1" xfId="0" applyNumberFormat="1" applyFont="1" applyBorder="1"/>
    <xf numFmtId="165" fontId="8" fillId="0" borderId="1" xfId="0" applyNumberFormat="1" applyFont="1" applyBorder="1"/>
    <xf numFmtId="164" fontId="0" fillId="5" borderId="1" xfId="0" applyNumberFormat="1" applyFill="1" applyBorder="1"/>
    <xf numFmtId="165" fontId="0" fillId="5" borderId="1" xfId="0" applyNumberFormat="1" applyFill="1" applyBorder="1"/>
    <xf numFmtId="168" fontId="0" fillId="5" borderId="1" xfId="0" applyNumberFormat="1" applyFill="1" applyBorder="1"/>
    <xf numFmtId="3" fontId="8" fillId="0" borderId="0" xfId="0" applyNumberFormat="1" applyFont="1"/>
    <xf numFmtId="3" fontId="4" fillId="0" borderId="0" xfId="0" applyNumberFormat="1" applyFont="1"/>
    <xf numFmtId="3" fontId="5" fillId="0" borderId="0" xfId="0" applyNumberFormat="1" applyFont="1"/>
    <xf numFmtId="167" fontId="4" fillId="0" borderId="0" xfId="0" applyNumberFormat="1" applyFont="1"/>
    <xf numFmtId="1" fontId="4" fillId="0" borderId="0" xfId="0" applyNumberFormat="1" applyFont="1" applyAlignment="1">
      <alignment horizontal="center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165" fontId="1" fillId="0" borderId="1" xfId="2" applyNumberFormat="1" applyBorder="1"/>
    <xf numFmtId="169" fontId="1" fillId="0" borderId="1" xfId="1" applyNumberFormat="1" applyBorder="1"/>
    <xf numFmtId="4" fontId="7" fillId="4" borderId="1" xfId="0" applyNumberFormat="1" applyFont="1" applyFill="1" applyBorder="1"/>
    <xf numFmtId="0" fontId="1" fillId="0" borderId="0" xfId="0" applyFont="1" applyAlignment="1">
      <alignment wrapText="1"/>
    </xf>
    <xf numFmtId="165" fontId="0" fillId="0" borderId="0" xfId="0" applyNumberFormat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BE4B48"/>
      <rgbColor rgb="FFEDEDED"/>
      <rgbColor rgb="FFD9E1F2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4F81BD"/>
      <rgbColor rgb="FF33CCCC"/>
      <rgbColor rgb="FF99CC00"/>
      <rgbColor rgb="FFFFCC00"/>
      <rgbColor rgb="FFFF9900"/>
      <rgbColor rgb="FFFF6600"/>
      <rgbColor rgb="FF4A7EBB"/>
      <rgbColor rgb="FF878787"/>
      <rgbColor rgb="FF1F3864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en-AU" sz="1800" b="1" strike="noStrike" spc="-1">
                <a:solidFill>
                  <a:srgbClr val="000000"/>
                </a:solidFill>
                <a:latin typeface="Calibri"/>
              </a:rPr>
              <a:t>Normal PDF of the return lag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'1_Normal_Model'!$B$13</c:f>
              <c:strCache>
                <c:ptCount val="1"/>
                <c:pt idx="0">
                  <c:v>PDF  f(x)</c:v>
                </c:pt>
              </c:strCache>
            </c:strRef>
          </c:tx>
          <c:spPr>
            <a:ln w="28440">
              <a:solidFill>
                <a:srgbClr val="4A7EBB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en-U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'1_Normal_Model'!$A$14:$A$46</c:f>
              <c:numCache>
                <c:formatCode>0.00</c:formatCode>
                <c:ptCount val="33"/>
                <c:pt idx="0">
                  <c:v>0</c:v>
                </c:pt>
                <c:pt idx="1">
                  <c:v>0.25</c:v>
                </c:pt>
                <c:pt idx="2">
                  <c:v>0.5</c:v>
                </c:pt>
                <c:pt idx="3">
                  <c:v>0.75</c:v>
                </c:pt>
                <c:pt idx="4">
                  <c:v>1</c:v>
                </c:pt>
                <c:pt idx="5">
                  <c:v>1.25</c:v>
                </c:pt>
                <c:pt idx="6">
                  <c:v>1.5</c:v>
                </c:pt>
                <c:pt idx="7">
                  <c:v>1.75</c:v>
                </c:pt>
                <c:pt idx="8">
                  <c:v>2</c:v>
                </c:pt>
                <c:pt idx="9">
                  <c:v>2.25</c:v>
                </c:pt>
                <c:pt idx="10">
                  <c:v>2.5</c:v>
                </c:pt>
                <c:pt idx="11">
                  <c:v>2.75</c:v>
                </c:pt>
                <c:pt idx="12">
                  <c:v>3</c:v>
                </c:pt>
                <c:pt idx="13">
                  <c:v>3.25</c:v>
                </c:pt>
                <c:pt idx="14">
                  <c:v>3.5</c:v>
                </c:pt>
                <c:pt idx="15">
                  <c:v>3.75</c:v>
                </c:pt>
                <c:pt idx="16">
                  <c:v>4</c:v>
                </c:pt>
                <c:pt idx="17">
                  <c:v>4.25</c:v>
                </c:pt>
                <c:pt idx="18">
                  <c:v>4.5</c:v>
                </c:pt>
                <c:pt idx="19">
                  <c:v>4.75</c:v>
                </c:pt>
                <c:pt idx="20">
                  <c:v>5</c:v>
                </c:pt>
                <c:pt idx="21">
                  <c:v>5.25</c:v>
                </c:pt>
                <c:pt idx="22">
                  <c:v>5.5</c:v>
                </c:pt>
                <c:pt idx="23">
                  <c:v>5.75</c:v>
                </c:pt>
                <c:pt idx="24">
                  <c:v>6</c:v>
                </c:pt>
                <c:pt idx="25">
                  <c:v>6.25</c:v>
                </c:pt>
                <c:pt idx="26">
                  <c:v>6.5</c:v>
                </c:pt>
                <c:pt idx="27">
                  <c:v>6.75</c:v>
                </c:pt>
                <c:pt idx="28">
                  <c:v>7</c:v>
                </c:pt>
                <c:pt idx="29">
                  <c:v>7.25</c:v>
                </c:pt>
                <c:pt idx="30">
                  <c:v>7.5</c:v>
                </c:pt>
                <c:pt idx="31">
                  <c:v>7.75</c:v>
                </c:pt>
                <c:pt idx="32">
                  <c:v>8</c:v>
                </c:pt>
              </c:numCache>
            </c:numRef>
          </c:cat>
          <c:val>
            <c:numRef>
              <c:f>'1_Normal_Model'!$B$14:$B$46</c:f>
              <c:numCache>
                <c:formatCode>0.0000</c:formatCode>
                <c:ptCount val="33"/>
                <c:pt idx="0">
                  <c:v>1.0077468103596663E-2</c:v>
                </c:pt>
                <c:pt idx="1">
                  <c:v>2.5814418296723329E-2</c:v>
                </c:pt>
                <c:pt idx="2">
                  <c:v>5.8356124705556296E-2</c:v>
                </c:pt>
                <c:pt idx="3">
                  <c:v>0.11641896502957641</c:v>
                </c:pt>
                <c:pt idx="4">
                  <c:v>0.20496240774714378</c:v>
                </c:pt>
                <c:pt idx="5">
                  <c:v>0.31844752957281514</c:v>
                </c:pt>
                <c:pt idx="6">
                  <c:v>0.43663117813276564</c:v>
                </c:pt>
                <c:pt idx="7">
                  <c:v>0.52832941775114894</c:v>
                </c:pt>
                <c:pt idx="8">
                  <c:v>0.56416745872758511</c:v>
                </c:pt>
                <c:pt idx="9">
                  <c:v>0.53164833892343411</c:v>
                </c:pt>
                <c:pt idx="10">
                  <c:v>0.44213416969385411</c:v>
                </c:pt>
                <c:pt idx="11">
                  <c:v>0.32448669086042181</c:v>
                </c:pt>
                <c:pt idx="12">
                  <c:v>0.21016136799361729</c:v>
                </c:pt>
                <c:pt idx="13">
                  <c:v>0.12012186730194001</c:v>
                </c:pt>
                <c:pt idx="14">
                  <c:v>6.0590488296059189E-2</c:v>
                </c:pt>
                <c:pt idx="15">
                  <c:v>2.6971184506335951E-2</c:v>
                </c:pt>
                <c:pt idx="16">
                  <c:v>1.0595190685417692E-2</c:v>
                </c:pt>
                <c:pt idx="17">
                  <c:v>3.6730828492955105E-3</c:v>
                </c:pt>
                <c:pt idx="18">
                  <c:v>1.123740054550309E-3</c:v>
                </c:pt>
                <c:pt idx="19">
                  <c:v>3.0339902980282323E-4</c:v>
                </c:pt>
                <c:pt idx="20">
                  <c:v>7.2289580415182413E-5</c:v>
                </c:pt>
                <c:pt idx="21">
                  <c:v>1.5200238772606686E-5</c:v>
                </c:pt>
                <c:pt idx="22">
                  <c:v>2.8205792456037606E-6</c:v>
                </c:pt>
                <c:pt idx="23">
                  <c:v>4.6189088462815349E-7</c:v>
                </c:pt>
                <c:pt idx="24">
                  <c:v>6.6750368400566589E-8</c:v>
                </c:pt>
                <c:pt idx="25">
                  <c:v>8.5129705716260312E-9</c:v>
                </c:pt>
                <c:pt idx="26">
                  <c:v>9.5812415016638746E-10</c:v>
                </c:pt>
                <c:pt idx="27">
                  <c:v>9.5164644954965493E-11</c:v>
                </c:pt>
                <c:pt idx="28">
                  <c:v>8.3414714189790872E-12</c:v>
                </c:pt>
                <c:pt idx="29">
                  <c:v>6.452423886584772E-13</c:v>
                </c:pt>
                <c:pt idx="30">
                  <c:v>4.4046996942349241E-14</c:v>
                </c:pt>
                <c:pt idx="31">
                  <c:v>2.6535233152898342E-15</c:v>
                </c:pt>
                <c:pt idx="32">
                  <c:v>1.4107261001764153E-16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35E7-45A2-9723-6B38BC5FD5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91069037"/>
        <c:axId val="74679277"/>
      </c:lineChart>
      <c:catAx>
        <c:axId val="91069037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en-AU" sz="1000" b="1" strike="noStrike" spc="-1">
                    <a:solidFill>
                      <a:srgbClr val="000000"/>
                    </a:solidFill>
                    <a:latin typeface="Calibri"/>
                  </a:rPr>
                  <a:t>weeks after issue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0.00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74679277"/>
        <c:crosses val="autoZero"/>
        <c:auto val="1"/>
        <c:lblAlgn val="ctr"/>
        <c:lblOffset val="100"/>
        <c:noMultiLvlLbl val="0"/>
      </c:catAx>
      <c:valAx>
        <c:axId val="74679277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en-AU" sz="1000" b="1" strike="noStrike" spc="-1">
                    <a:solidFill>
                      <a:srgbClr val="000000"/>
                    </a:solidFill>
                    <a:latin typeface="Calibri"/>
                  </a:rPr>
                  <a:t>density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0.0000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91069037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en-AU" sz="1800" b="1" strike="noStrike" spc="-1">
                <a:solidFill>
                  <a:srgbClr val="000000"/>
                </a:solidFill>
                <a:latin typeface="Calibri"/>
              </a:rPr>
              <a:t>Final weekly lag weights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'1_Normal_Model'!$I$13</c:f>
              <c:strCache>
                <c:ptCount val="1"/>
                <c:pt idx="0">
                  <c:v>Final weight  = normalised x r</c:v>
                </c:pt>
              </c:strCache>
            </c:strRef>
          </c:tx>
          <c:spPr>
            <a:solidFill>
              <a:srgbClr val="4F81BD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'1_Normal_Model'!$E$14:$E$19</c:f>
              <c:numCache>
                <c:formatCode>General</c:formatCode>
                <c:ptCount val="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</c:numCache>
            </c:numRef>
          </c:cat>
          <c:val>
            <c:numRef>
              <c:f>'1_Normal_Model'!$I$14:$I$19</c:f>
              <c:numCache>
                <c:formatCode>0.00%</c:formatCode>
                <c:ptCount val="6"/>
                <c:pt idx="0">
                  <c:v>5.6440656657420818E-2</c:v>
                </c:pt>
                <c:pt idx="1">
                  <c:v>0.3150484540105018</c:v>
                </c:pt>
                <c:pt idx="2">
                  <c:v>0.31840602099625248</c:v>
                </c:pt>
                <c:pt idx="3">
                  <c:v>5.8297466383552016E-2</c:v>
                </c:pt>
                <c:pt idx="4">
                  <c:v>1.7987712367713217E-3</c:v>
                </c:pt>
                <c:pt idx="5">
                  <c:v>8.6307155015426936E-6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9D-4EE3-8801-8FDEA62CE7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3327392"/>
        <c:axId val="72169681"/>
      </c:barChart>
      <c:catAx>
        <c:axId val="33327392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en-AU" sz="1000" b="1" strike="noStrike" spc="-1">
                    <a:solidFill>
                      <a:srgbClr val="000000"/>
                    </a:solidFill>
                    <a:latin typeface="Calibri"/>
                  </a:rPr>
                  <a:t>lag (weeks)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72169681"/>
        <c:crosses val="autoZero"/>
        <c:auto val="1"/>
        <c:lblAlgn val="ctr"/>
        <c:lblOffset val="100"/>
        <c:noMultiLvlLbl val="0"/>
      </c:catAx>
      <c:valAx>
        <c:axId val="72169681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en-AU" sz="1000" b="1" strike="noStrike" spc="-1">
                    <a:solidFill>
                      <a:srgbClr val="000000"/>
                    </a:solidFill>
                    <a:latin typeface="Calibri"/>
                  </a:rPr>
                  <a:t>share of an issue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0.00%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33327392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en-AU" sz="1800" b="1" strike="noStrike" spc="-1">
                <a:solidFill>
                  <a:srgbClr val="000000"/>
                </a:solidFill>
                <a:latin typeface="Calibri"/>
              </a:rPr>
              <a:t>Actual vs forecast returns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'2_Issues_Returns'!$I$8</c:f>
              <c:strCache>
                <c:ptCount val="1"/>
                <c:pt idx="0">
                  <c:v>Forecast returns</c:v>
                </c:pt>
              </c:strCache>
            </c:strRef>
          </c:tx>
          <c:spPr>
            <a:ln w="28440">
              <a:solidFill>
                <a:srgbClr val="4A7EBB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en-U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'2_Issues_Returns'!$A$9:$A$44</c:f>
              <c:numCache>
                <c:formatCode>General</c:formatCode>
                <c:ptCount val="3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</c:numCache>
            </c:numRef>
          </c:cat>
          <c:val>
            <c:numRef>
              <c:f>'2_Issues_Returns'!$I$9:$I$44</c:f>
              <c:numCache>
                <c:formatCode>_-* #,##0_-;\-* #,##0_-;_-* "-"??_-;_-@_-</c:formatCode>
                <c:ptCount val="36"/>
                <c:pt idx="0">
                  <c:v>27.48659979216394</c:v>
                </c:pt>
                <c:pt idx="1">
                  <c:v>241.08093689208891</c:v>
                </c:pt>
                <c:pt idx="2">
                  <c:v>773.92172898892238</c:v>
                </c:pt>
                <c:pt idx="3">
                  <c:v>1330.8312114735559</c:v>
                </c:pt>
                <c:pt idx="4">
                  <c:v>1379.390808641233</c:v>
                </c:pt>
                <c:pt idx="5">
                  <c:v>1166.4319540218337</c:v>
                </c:pt>
                <c:pt idx="6">
                  <c:v>1089.1297463075582</c:v>
                </c:pt>
                <c:pt idx="7">
                  <c:v>1036.6736943821759</c:v>
                </c:pt>
                <c:pt idx="8">
                  <c:v>1043.3402289305084</c:v>
                </c:pt>
                <c:pt idx="9">
                  <c:v>1049.8654016102198</c:v>
                </c:pt>
                <c:pt idx="10">
                  <c:v>1012.6052156923541</c:v>
                </c:pt>
                <c:pt idx="11">
                  <c:v>1020.6512554049663</c:v>
                </c:pt>
                <c:pt idx="12">
                  <c:v>1020.0286205797626</c:v>
                </c:pt>
                <c:pt idx="13">
                  <c:v>1090.4016851516756</c:v>
                </c:pt>
                <c:pt idx="14">
                  <c:v>1693.3301695973337</c:v>
                </c:pt>
                <c:pt idx="15">
                  <c:v>2067.5277617113197</c:v>
                </c:pt>
                <c:pt idx="16">
                  <c:v>1942.1964071266827</c:v>
                </c:pt>
                <c:pt idx="17">
                  <c:v>1952.0179222515449</c:v>
                </c:pt>
                <c:pt idx="18">
                  <c:v>1814.6671030805901</c:v>
                </c:pt>
                <c:pt idx="19">
                  <c:v>1510.6802902669249</c:v>
                </c:pt>
                <c:pt idx="20">
                  <c:v>1509.5468344855542</c:v>
                </c:pt>
                <c:pt idx="21">
                  <c:v>1651.9988356549386</c:v>
                </c:pt>
                <c:pt idx="22">
                  <c:v>1478.614190371743</c:v>
                </c:pt>
                <c:pt idx="23">
                  <c:v>1539.2818407818261</c:v>
                </c:pt>
                <c:pt idx="24">
                  <c:v>1958.064983985528</c:v>
                </c:pt>
                <c:pt idx="25">
                  <c:v>1986.4278403865414</c:v>
                </c:pt>
                <c:pt idx="26">
                  <c:v>1690.9468002749386</c:v>
                </c:pt>
                <c:pt idx="27">
                  <c:v>1389.4167641468232</c:v>
                </c:pt>
                <c:pt idx="28">
                  <c:v>1154.751840469675</c:v>
                </c:pt>
                <c:pt idx="29">
                  <c:v>1307.7785411642367</c:v>
                </c:pt>
                <c:pt idx="30">
                  <c:v>1533.7912105293049</c:v>
                </c:pt>
                <c:pt idx="31">
                  <c:v>1955.3785899924021</c:v>
                </c:pt>
                <c:pt idx="32">
                  <c:v>2357.4885073664173</c:v>
                </c:pt>
                <c:pt idx="33">
                  <c:v>2315.058497948613</c:v>
                </c:pt>
                <c:pt idx="34">
                  <c:v>2030.9043244847371</c:v>
                </c:pt>
                <c:pt idx="35">
                  <c:v>1783.5184534126972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ECED-4B68-9A23-64AA0F314FC1}"/>
            </c:ext>
          </c:extLst>
        </c:ser>
        <c:ser>
          <c:idx val="1"/>
          <c:order val="1"/>
          <c:tx>
            <c:strRef>
              <c:f>'2_Issues_Returns'!$J$8</c:f>
              <c:strCache>
                <c:ptCount val="1"/>
                <c:pt idx="0">
                  <c:v>Actual returns</c:v>
                </c:pt>
              </c:strCache>
            </c:strRef>
          </c:tx>
          <c:spPr>
            <a:ln w="28440">
              <a:solidFill>
                <a:srgbClr val="BE4B48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en-U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'2_Issues_Returns'!$A$9:$A$44</c:f>
              <c:numCache>
                <c:formatCode>General</c:formatCode>
                <c:ptCount val="3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</c:numCache>
            </c:numRef>
          </c:cat>
          <c:val>
            <c:numRef>
              <c:f>'2_Issues_Returns'!$J$9:$J$44</c:f>
              <c:numCache>
                <c:formatCode>#,##0</c:formatCode>
                <c:ptCount val="36"/>
                <c:pt idx="0">
                  <c:v>382</c:v>
                </c:pt>
                <c:pt idx="1">
                  <c:v>1633</c:v>
                </c:pt>
                <c:pt idx="2">
                  <c:v>1765</c:v>
                </c:pt>
                <c:pt idx="3">
                  <c:v>1553</c:v>
                </c:pt>
                <c:pt idx="4">
                  <c:v>1782</c:v>
                </c:pt>
                <c:pt idx="5">
                  <c:v>1821</c:v>
                </c:pt>
                <c:pt idx="6">
                  <c:v>1399</c:v>
                </c:pt>
                <c:pt idx="7">
                  <c:v>1498</c:v>
                </c:pt>
                <c:pt idx="8">
                  <c:v>1511</c:v>
                </c:pt>
                <c:pt idx="9">
                  <c:v>1235</c:v>
                </c:pt>
                <c:pt idx="10">
                  <c:v>1363</c:v>
                </c:pt>
                <c:pt idx="11">
                  <c:v>1141</c:v>
                </c:pt>
                <c:pt idx="12">
                  <c:v>1628</c:v>
                </c:pt>
                <c:pt idx="13">
                  <c:v>1642</c:v>
                </c:pt>
                <c:pt idx="14">
                  <c:v>2434</c:v>
                </c:pt>
                <c:pt idx="15">
                  <c:v>2522</c:v>
                </c:pt>
                <c:pt idx="16">
                  <c:v>1983</c:v>
                </c:pt>
                <c:pt idx="17">
                  <c:v>2348</c:v>
                </c:pt>
                <c:pt idx="18">
                  <c:v>1905</c:v>
                </c:pt>
                <c:pt idx="19">
                  <c:v>2353</c:v>
                </c:pt>
                <c:pt idx="20">
                  <c:v>1993</c:v>
                </c:pt>
                <c:pt idx="21">
                  <c:v>2200</c:v>
                </c:pt>
                <c:pt idx="22">
                  <c:v>1858</c:v>
                </c:pt>
                <c:pt idx="23">
                  <c:v>2129</c:v>
                </c:pt>
                <c:pt idx="24">
                  <c:v>2226</c:v>
                </c:pt>
                <c:pt idx="25">
                  <c:v>3631</c:v>
                </c:pt>
                <c:pt idx="26">
                  <c:v>2264</c:v>
                </c:pt>
                <c:pt idx="27">
                  <c:v>2097</c:v>
                </c:pt>
                <c:pt idx="28">
                  <c:v>3118</c:v>
                </c:pt>
                <c:pt idx="29">
                  <c:v>2930</c:v>
                </c:pt>
                <c:pt idx="30">
                  <c:v>2607</c:v>
                </c:pt>
                <c:pt idx="31">
                  <c:v>2749</c:v>
                </c:pt>
                <c:pt idx="32">
                  <c:v>3640</c:v>
                </c:pt>
                <c:pt idx="33">
                  <c:v>3229</c:v>
                </c:pt>
                <c:pt idx="34">
                  <c:v>2316</c:v>
                </c:pt>
                <c:pt idx="35">
                  <c:v>3764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ECED-4B68-9A23-64AA0F314F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58628906"/>
        <c:axId val="14714924"/>
      </c:lineChart>
      <c:catAx>
        <c:axId val="58628906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en-AU" sz="1000" b="1" strike="noStrike" spc="-1">
                    <a:solidFill>
                      <a:srgbClr val="000000"/>
                    </a:solidFill>
                    <a:latin typeface="Calibri"/>
                  </a:rPr>
                  <a:t>week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14714924"/>
        <c:crosses val="autoZero"/>
        <c:auto val="1"/>
        <c:lblAlgn val="ctr"/>
        <c:lblOffset val="100"/>
        <c:noMultiLvlLbl val="0"/>
      </c:catAx>
      <c:valAx>
        <c:axId val="14714924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en-AU" sz="1000" b="1" strike="noStrike" spc="-1">
                    <a:solidFill>
                      <a:srgbClr val="000000"/>
                    </a:solidFill>
                    <a:latin typeface="Calibri"/>
                  </a:rPr>
                  <a:t>units returned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#,##0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58628906"/>
        <c:crosses val="autoZero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22</xdr:row>
      <xdr:rowOff>48240</xdr:rowOff>
    </xdr:from>
    <xdr:to>
      <xdr:col>8</xdr:col>
      <xdr:colOff>1014120</xdr:colOff>
      <xdr:row>36</xdr:row>
      <xdr:rowOff>80640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371476</xdr:colOff>
      <xdr:row>22</xdr:row>
      <xdr:rowOff>48240</xdr:rowOff>
    </xdr:from>
    <xdr:to>
      <xdr:col>18</xdr:col>
      <xdr:colOff>541801</xdr:colOff>
      <xdr:row>36</xdr:row>
      <xdr:rowOff>80640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200026</xdr:colOff>
      <xdr:row>8</xdr:row>
      <xdr:rowOff>112935</xdr:rowOff>
    </xdr:from>
    <xdr:to>
      <xdr:col>25</xdr:col>
      <xdr:colOff>219076</xdr:colOff>
      <xdr:row>23</xdr:row>
      <xdr:rowOff>126990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F3864"/>
  </sheetPr>
  <dimension ref="A1:B32"/>
  <sheetViews>
    <sheetView showGridLines="0" tabSelected="1" zoomScaleNormal="100" workbookViewId="0">
      <selection activeCell="B26" sqref="B26"/>
    </sheetView>
  </sheetViews>
  <sheetFormatPr defaultColWidth="8.7109375" defaultRowHeight="15" x14ac:dyDescent="0.25"/>
  <cols>
    <col min="1" max="1" width="18" customWidth="1"/>
    <col min="2" max="2" width="112" customWidth="1"/>
  </cols>
  <sheetData>
    <row r="1" spans="1:2" ht="17.25" customHeight="1" x14ac:dyDescent="0.25">
      <c r="A1" s="1" t="s">
        <v>0</v>
      </c>
    </row>
    <row r="3" spans="1:2" ht="15" customHeight="1" x14ac:dyDescent="0.25">
      <c r="A3" s="2" t="s">
        <v>1</v>
      </c>
    </row>
    <row r="4" spans="1:2" ht="15" customHeight="1" x14ac:dyDescent="0.25">
      <c r="A4" s="3" t="s">
        <v>2</v>
      </c>
    </row>
    <row r="5" spans="1:2" ht="15" customHeight="1" x14ac:dyDescent="0.25">
      <c r="A5" s="3" t="s">
        <v>3</v>
      </c>
    </row>
    <row r="6" spans="1:2" ht="15" customHeight="1" x14ac:dyDescent="0.25">
      <c r="A6" s="3" t="s">
        <v>4</v>
      </c>
    </row>
    <row r="8" spans="1:2" ht="15" customHeight="1" x14ac:dyDescent="0.25">
      <c r="A8" s="2" t="s">
        <v>5</v>
      </c>
    </row>
    <row r="9" spans="1:2" ht="15" customHeight="1" x14ac:dyDescent="0.25">
      <c r="A9" s="4" t="s">
        <v>6</v>
      </c>
      <c r="B9" s="3" t="s">
        <v>7</v>
      </c>
    </row>
    <row r="10" spans="1:2" ht="15" customHeight="1" x14ac:dyDescent="0.25">
      <c r="A10" s="4" t="s">
        <v>8</v>
      </c>
      <c r="B10" s="3" t="s">
        <v>9</v>
      </c>
    </row>
    <row r="11" spans="1:2" ht="15" customHeight="1" x14ac:dyDescent="0.25">
      <c r="A11" s="4" t="s">
        <v>10</v>
      </c>
      <c r="B11" s="3" t="s">
        <v>11</v>
      </c>
    </row>
    <row r="13" spans="1:2" ht="15" customHeight="1" x14ac:dyDescent="0.25">
      <c r="A13" s="2" t="s">
        <v>12</v>
      </c>
    </row>
    <row r="14" spans="1:2" ht="15" customHeight="1" x14ac:dyDescent="0.25">
      <c r="A14" s="3" t="s">
        <v>13</v>
      </c>
    </row>
    <row r="15" spans="1:2" ht="15" customHeight="1" x14ac:dyDescent="0.25">
      <c r="A15" s="3" t="s">
        <v>14</v>
      </c>
    </row>
    <row r="16" spans="1:2" ht="15" customHeight="1" x14ac:dyDescent="0.25">
      <c r="A16" s="3" t="s">
        <v>15</v>
      </c>
    </row>
    <row r="18" spans="1:2" ht="15" customHeight="1" x14ac:dyDescent="0.25">
      <c r="A18" s="2" t="s">
        <v>16</v>
      </c>
    </row>
    <row r="19" spans="1:2" ht="15" customHeight="1" x14ac:dyDescent="0.25">
      <c r="A19" s="4" t="s">
        <v>17</v>
      </c>
      <c r="B19" s="3" t="s">
        <v>18</v>
      </c>
    </row>
    <row r="20" spans="1:2" ht="15" customHeight="1" x14ac:dyDescent="0.25">
      <c r="A20" s="4" t="s">
        <v>19</v>
      </c>
      <c r="B20" s="3" t="s">
        <v>20</v>
      </c>
    </row>
    <row r="21" spans="1:2" ht="15" customHeight="1" x14ac:dyDescent="0.25">
      <c r="A21" s="4" t="s">
        <v>21</v>
      </c>
      <c r="B21" s="3" t="s">
        <v>22</v>
      </c>
    </row>
    <row r="23" spans="1:2" ht="15" customHeight="1" x14ac:dyDescent="0.25">
      <c r="A23" s="2" t="s">
        <v>23</v>
      </c>
    </row>
    <row r="24" spans="1:2" ht="15" customHeight="1" x14ac:dyDescent="0.25">
      <c r="A24" s="5" t="s">
        <v>24</v>
      </c>
    </row>
    <row r="25" spans="1:2" ht="15" customHeight="1" x14ac:dyDescent="0.25">
      <c r="A25" s="5" t="s">
        <v>25</v>
      </c>
    </row>
    <row r="26" spans="1:2" ht="15" customHeight="1" x14ac:dyDescent="0.25">
      <c r="A26" s="5" t="s">
        <v>26</v>
      </c>
    </row>
    <row r="27" spans="1:2" ht="15" customHeight="1" x14ac:dyDescent="0.25">
      <c r="A27" s="5" t="s">
        <v>27</v>
      </c>
    </row>
    <row r="28" spans="1:2" ht="15" customHeight="1" x14ac:dyDescent="0.25">
      <c r="A28" s="5" t="s">
        <v>28</v>
      </c>
    </row>
    <row r="30" spans="1:2" ht="15" customHeight="1" x14ac:dyDescent="0.25">
      <c r="A30" s="2" t="s">
        <v>29</v>
      </c>
    </row>
    <row r="31" spans="1:2" ht="15" customHeight="1" x14ac:dyDescent="0.25">
      <c r="A31" s="5" t="s">
        <v>30</v>
      </c>
    </row>
    <row r="32" spans="1:2" ht="15" customHeight="1" x14ac:dyDescent="0.25">
      <c r="A32" s="5" t="s">
        <v>31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1F3864"/>
  </sheetPr>
  <dimension ref="A1:I46"/>
  <sheetViews>
    <sheetView showGridLines="0" topLeftCell="A30" zoomScaleNormal="100" workbookViewId="0">
      <selection activeCell="A24" sqref="A24"/>
    </sheetView>
  </sheetViews>
  <sheetFormatPr defaultColWidth="8.7109375" defaultRowHeight="15" x14ac:dyDescent="0.25"/>
  <cols>
    <col min="1" max="1" width="24" customWidth="1"/>
    <col min="2" max="2" width="12" customWidth="1"/>
    <col min="3" max="3" width="44" customWidth="1"/>
    <col min="5" max="5" width="14" customWidth="1"/>
    <col min="6" max="6" width="11" customWidth="1"/>
    <col min="7" max="7" width="15" customWidth="1"/>
    <col min="8" max="8" width="12" customWidth="1"/>
    <col min="9" max="9" width="19.42578125" customWidth="1"/>
  </cols>
  <sheetData>
    <row r="1" spans="1:9" ht="17.25" customHeight="1" x14ac:dyDescent="0.25">
      <c r="A1" s="1" t="s">
        <v>32</v>
      </c>
    </row>
    <row r="2" spans="1:9" ht="15" customHeight="1" x14ac:dyDescent="0.25">
      <c r="A2" s="5" t="s">
        <v>33</v>
      </c>
    </row>
    <row r="4" spans="1:9" ht="15" customHeight="1" x14ac:dyDescent="0.25">
      <c r="A4" s="2" t="s">
        <v>34</v>
      </c>
    </row>
    <row r="5" spans="1:9" ht="15" customHeight="1" x14ac:dyDescent="0.25">
      <c r="A5" s="3" t="s">
        <v>35</v>
      </c>
      <c r="B5" s="6">
        <f>'3_Solver_Fit'!$B$5</f>
        <v>2.0062622672930845</v>
      </c>
      <c r="C5" s="5" t="s">
        <v>36</v>
      </c>
    </row>
    <row r="6" spans="1:9" ht="15" customHeight="1" x14ac:dyDescent="0.25">
      <c r="A6" s="3" t="s">
        <v>37</v>
      </c>
      <c r="B6" s="6">
        <v>0.5</v>
      </c>
      <c r="C6" s="5" t="s">
        <v>36</v>
      </c>
    </row>
    <row r="7" spans="1:9" ht="15" customHeight="1" x14ac:dyDescent="0.25">
      <c r="A7" s="3" t="s">
        <v>38</v>
      </c>
      <c r="B7" s="7">
        <f>SQRT(B6)</f>
        <v>0.70710678118654757</v>
      </c>
      <c r="C7" s="5" t="s">
        <v>39</v>
      </c>
    </row>
    <row r="8" spans="1:9" ht="15" customHeight="1" x14ac:dyDescent="0.25">
      <c r="A8" s="3" t="s">
        <v>40</v>
      </c>
      <c r="B8" s="8">
        <f>'3_Solver_Fit'!$B$7</f>
        <v>0.75</v>
      </c>
      <c r="C8" s="5" t="s">
        <v>41</v>
      </c>
    </row>
    <row r="9" spans="1:9" ht="15" customHeight="1" x14ac:dyDescent="0.25">
      <c r="A9" s="3" t="s">
        <v>42</v>
      </c>
      <c r="B9" s="9">
        <v>6</v>
      </c>
      <c r="C9" s="5" t="s">
        <v>43</v>
      </c>
    </row>
    <row r="12" spans="1:9" ht="15" customHeight="1" x14ac:dyDescent="0.25">
      <c r="A12" s="2" t="s">
        <v>44</v>
      </c>
      <c r="E12" s="2" t="s">
        <v>45</v>
      </c>
    </row>
    <row r="13" spans="1:9" ht="23.25" customHeight="1" x14ac:dyDescent="0.25">
      <c r="A13" s="10" t="s">
        <v>46</v>
      </c>
      <c r="B13" s="10" t="s">
        <v>47</v>
      </c>
      <c r="C13" s="10" t="s">
        <v>48</v>
      </c>
      <c r="E13" s="11" t="s">
        <v>49</v>
      </c>
      <c r="F13" s="11" t="s">
        <v>50</v>
      </c>
      <c r="G13" s="11" t="s">
        <v>51</v>
      </c>
      <c r="H13" s="11" t="s">
        <v>52</v>
      </c>
      <c r="I13" s="11" t="s">
        <v>53</v>
      </c>
    </row>
    <row r="14" spans="1:9" ht="15" customHeight="1" x14ac:dyDescent="0.25">
      <c r="A14" s="12">
        <v>0</v>
      </c>
      <c r="B14" s="13">
        <f t="shared" ref="B14:B46" si="0">NORMDIST($A14,$B$5,$B$7,FALSE())</f>
        <v>1.0077468103596663E-2</v>
      </c>
      <c r="C14" s="13">
        <f t="shared" ref="C14:C46" si="1">NORMDIST($A14,$B$5,$B$7,TRUE())</f>
        <v>2.274960978734621E-3</v>
      </c>
      <c r="E14" s="14">
        <v>1</v>
      </c>
      <c r="F14" s="15">
        <f t="shared" ref="F14:F19" si="2">NORMDIST($E14,$B$5,$B$7,TRUE())</f>
        <v>7.7357968855826492E-2</v>
      </c>
      <c r="G14" s="15">
        <f t="shared" ref="G14:G19" si="3">NORMDIST($E14,$B$5,$B$7,TRUE())-NORMDIST($E14-1,$B$5,$B$7,TRUE())</f>
        <v>7.5083007877091865E-2</v>
      </c>
      <c r="H14" s="16">
        <f t="shared" ref="H14:H19" si="4">IFERROR($G14/SUM($G$14:$G$19),0)</f>
        <v>7.5254208876561091E-2</v>
      </c>
      <c r="I14" s="17">
        <f t="shared" ref="I14:I19" si="5">$H14*$B$8</f>
        <v>5.6440656657420818E-2</v>
      </c>
    </row>
    <row r="15" spans="1:9" ht="15" customHeight="1" x14ac:dyDescent="0.25">
      <c r="A15" s="12">
        <v>0.25</v>
      </c>
      <c r="B15" s="13">
        <f t="shared" si="0"/>
        <v>2.5814418296723329E-2</v>
      </c>
      <c r="C15" s="13">
        <f t="shared" si="1"/>
        <v>6.5007187122773482E-3</v>
      </c>
      <c r="E15" s="14">
        <v>2</v>
      </c>
      <c r="F15" s="15">
        <f t="shared" si="2"/>
        <v>0.49646694020805804</v>
      </c>
      <c r="G15" s="15">
        <f t="shared" si="3"/>
        <v>0.41910897135223157</v>
      </c>
      <c r="H15" s="16">
        <f t="shared" si="4"/>
        <v>0.42006460534733575</v>
      </c>
      <c r="I15" s="17">
        <f t="shared" si="5"/>
        <v>0.3150484540105018</v>
      </c>
    </row>
    <row r="16" spans="1:9" ht="15" customHeight="1" x14ac:dyDescent="0.25">
      <c r="A16" s="12">
        <v>0.5</v>
      </c>
      <c r="B16" s="13">
        <f t="shared" si="0"/>
        <v>5.8356124705556296E-2</v>
      </c>
      <c r="C16" s="13">
        <f t="shared" si="1"/>
        <v>1.6578521106021062E-2</v>
      </c>
      <c r="E16" s="14">
        <v>3</v>
      </c>
      <c r="F16" s="15">
        <f t="shared" si="2"/>
        <v>0.92004248305978753</v>
      </c>
      <c r="G16" s="15">
        <f t="shared" si="3"/>
        <v>0.42357554285172949</v>
      </c>
      <c r="H16" s="16">
        <f t="shared" si="4"/>
        <v>0.42454136132833664</v>
      </c>
      <c r="I16" s="17">
        <f t="shared" si="5"/>
        <v>0.31840602099625248</v>
      </c>
    </row>
    <row r="17" spans="1:9" ht="15" customHeight="1" x14ac:dyDescent="0.25">
      <c r="A17" s="12">
        <v>0.75</v>
      </c>
      <c r="B17" s="13">
        <f t="shared" si="0"/>
        <v>0.11641896502957641</v>
      </c>
      <c r="C17" s="13">
        <f t="shared" si="1"/>
        <v>3.7815133191791993E-2</v>
      </c>
      <c r="E17" s="14">
        <v>4</v>
      </c>
      <c r="F17" s="15">
        <f t="shared" si="2"/>
        <v>0.99759560499206446</v>
      </c>
      <c r="G17" s="15">
        <f t="shared" si="3"/>
        <v>7.7553121932276925E-2</v>
      </c>
      <c r="H17" s="16">
        <f t="shared" si="4"/>
        <v>7.7729955178069354E-2</v>
      </c>
      <c r="I17" s="17">
        <f t="shared" si="5"/>
        <v>5.8297466383552016E-2</v>
      </c>
    </row>
    <row r="18" spans="1:9" ht="15" customHeight="1" x14ac:dyDescent="0.25">
      <c r="A18" s="12">
        <v>1</v>
      </c>
      <c r="B18" s="13">
        <f t="shared" si="0"/>
        <v>0.20496240774714378</v>
      </c>
      <c r="C18" s="13">
        <f t="shared" si="1"/>
        <v>7.7357968855826492E-2</v>
      </c>
      <c r="E18" s="14">
        <v>5</v>
      </c>
      <c r="F18" s="15">
        <f t="shared" si="2"/>
        <v>0.99998851044246251</v>
      </c>
      <c r="G18" s="15">
        <f t="shared" si="3"/>
        <v>2.3929054503980529E-3</v>
      </c>
      <c r="H18" s="16">
        <f t="shared" si="4"/>
        <v>2.398361649028429E-3</v>
      </c>
      <c r="I18" s="17">
        <f t="shared" si="5"/>
        <v>1.7987712367713217E-3</v>
      </c>
    </row>
    <row r="19" spans="1:9" ht="15" customHeight="1" x14ac:dyDescent="0.25">
      <c r="A19" s="12">
        <v>1.25</v>
      </c>
      <c r="B19" s="13">
        <f t="shared" si="0"/>
        <v>0.31844752957281514</v>
      </c>
      <c r="C19" s="13">
        <f t="shared" si="1"/>
        <v>0.14241853160734547</v>
      </c>
      <c r="E19" s="14">
        <v>6</v>
      </c>
      <c r="F19" s="15">
        <f t="shared" si="2"/>
        <v>0.99999999188364985</v>
      </c>
      <c r="G19" s="15">
        <f t="shared" si="3"/>
        <v>1.1481441187344288E-5</v>
      </c>
      <c r="H19" s="16">
        <f t="shared" si="4"/>
        <v>1.1507620668723592E-5</v>
      </c>
      <c r="I19" s="17">
        <f t="shared" si="5"/>
        <v>8.6307155015426936E-6</v>
      </c>
    </row>
    <row r="20" spans="1:9" ht="15" customHeight="1" x14ac:dyDescent="0.25">
      <c r="A20" s="12">
        <v>1.5</v>
      </c>
      <c r="B20" s="13">
        <f t="shared" si="0"/>
        <v>0.43663117813276564</v>
      </c>
      <c r="C20" s="13">
        <f t="shared" si="1"/>
        <v>0.23700710881869422</v>
      </c>
      <c r="E20" s="18" t="s">
        <v>54</v>
      </c>
      <c r="F20" s="18"/>
      <c r="G20" s="19">
        <f>SUM($G$14:$G$19)</f>
        <v>0.99772503090491527</v>
      </c>
      <c r="H20" s="20">
        <f>SUM($H$14:$H$19)</f>
        <v>1</v>
      </c>
      <c r="I20" s="20">
        <f>SUM($I$14:$I$19)</f>
        <v>0.74999999999999989</v>
      </c>
    </row>
    <row r="21" spans="1:9" ht="15" customHeight="1" x14ac:dyDescent="0.25">
      <c r="A21" s="12">
        <v>1.75</v>
      </c>
      <c r="B21" s="13">
        <f t="shared" si="0"/>
        <v>0.52832941775114894</v>
      </c>
      <c r="C21" s="13">
        <f t="shared" si="1"/>
        <v>0.35852299306295077</v>
      </c>
    </row>
    <row r="22" spans="1:9" ht="15" customHeight="1" x14ac:dyDescent="0.25">
      <c r="A22" s="12">
        <v>2</v>
      </c>
      <c r="B22" s="13">
        <f t="shared" si="0"/>
        <v>0.56416745872758511</v>
      </c>
      <c r="C22" s="13">
        <f t="shared" si="1"/>
        <v>0.49646694020805804</v>
      </c>
      <c r="E22" s="5" t="s">
        <v>55</v>
      </c>
    </row>
    <row r="23" spans="1:9" ht="15" customHeight="1" x14ac:dyDescent="0.25">
      <c r="A23" s="12">
        <v>2.25</v>
      </c>
      <c r="B23" s="13">
        <f t="shared" si="0"/>
        <v>0.53164833892343411</v>
      </c>
      <c r="C23" s="13">
        <f t="shared" si="1"/>
        <v>0.63483899105015673</v>
      </c>
      <c r="E23" s="5" t="s">
        <v>56</v>
      </c>
    </row>
    <row r="24" spans="1:9" ht="15" customHeight="1" x14ac:dyDescent="0.25">
      <c r="A24" s="12">
        <v>2.5</v>
      </c>
      <c r="B24" s="13">
        <f t="shared" si="0"/>
        <v>0.44213416969385411</v>
      </c>
      <c r="C24" s="13">
        <f t="shared" si="1"/>
        <v>0.75748975574815602</v>
      </c>
    </row>
    <row r="25" spans="1:9" ht="15" customHeight="1" x14ac:dyDescent="0.25">
      <c r="A25" s="12">
        <v>2.75</v>
      </c>
      <c r="B25" s="13">
        <f t="shared" si="0"/>
        <v>0.32448669086042181</v>
      </c>
      <c r="C25" s="13">
        <f t="shared" si="1"/>
        <v>0.85355525560801881</v>
      </c>
    </row>
    <row r="26" spans="1:9" ht="15" customHeight="1" x14ac:dyDescent="0.25">
      <c r="A26" s="12">
        <v>3</v>
      </c>
      <c r="B26" s="13">
        <f t="shared" si="0"/>
        <v>0.21016136799361729</v>
      </c>
      <c r="C26" s="13">
        <f t="shared" si="1"/>
        <v>0.92004248305978753</v>
      </c>
    </row>
    <row r="27" spans="1:9" ht="15" customHeight="1" x14ac:dyDescent="0.25">
      <c r="A27" s="12">
        <v>3.25</v>
      </c>
      <c r="B27" s="13">
        <f t="shared" si="0"/>
        <v>0.12012186730194001</v>
      </c>
      <c r="C27" s="13">
        <f t="shared" si="1"/>
        <v>0.96070366717582534</v>
      </c>
    </row>
    <row r="28" spans="1:9" ht="15" customHeight="1" x14ac:dyDescent="0.25">
      <c r="A28" s="12">
        <v>3.5</v>
      </c>
      <c r="B28" s="13">
        <f t="shared" si="0"/>
        <v>6.0590488296059189E-2</v>
      </c>
      <c r="C28" s="13">
        <f t="shared" si="1"/>
        <v>0.98267667155890093</v>
      </c>
    </row>
    <row r="29" spans="1:9" ht="15" customHeight="1" x14ac:dyDescent="0.25">
      <c r="A29" s="12">
        <v>3.75</v>
      </c>
      <c r="B29" s="13">
        <f t="shared" si="0"/>
        <v>2.6971184506335951E-2</v>
      </c>
      <c r="C29" s="13">
        <f t="shared" si="1"/>
        <v>0.99316876801583476</v>
      </c>
    </row>
    <row r="30" spans="1:9" ht="15" customHeight="1" x14ac:dyDescent="0.25">
      <c r="A30" s="12">
        <v>4</v>
      </c>
      <c r="B30" s="13">
        <f t="shared" si="0"/>
        <v>1.0595190685417692E-2</v>
      </c>
      <c r="C30" s="13">
        <f t="shared" si="1"/>
        <v>0.99759560499206446</v>
      </c>
    </row>
    <row r="31" spans="1:9" ht="15" customHeight="1" x14ac:dyDescent="0.25">
      <c r="A31" s="12">
        <v>4.25</v>
      </c>
      <c r="B31" s="13">
        <f t="shared" si="0"/>
        <v>3.6730828492955105E-3</v>
      </c>
      <c r="C31" s="13">
        <f t="shared" si="1"/>
        <v>0.99924596036419711</v>
      </c>
    </row>
    <row r="32" spans="1:9" ht="15" customHeight="1" x14ac:dyDescent="0.25">
      <c r="A32" s="12">
        <v>4.5</v>
      </c>
      <c r="B32" s="13">
        <f t="shared" si="0"/>
        <v>1.123740054550309E-3</v>
      </c>
      <c r="C32" s="13">
        <f t="shared" si="1"/>
        <v>0.9997895956807904</v>
      </c>
    </row>
    <row r="33" spans="1:3" ht="15" customHeight="1" x14ac:dyDescent="0.25">
      <c r="A33" s="12">
        <v>4.75</v>
      </c>
      <c r="B33" s="13">
        <f t="shared" si="0"/>
        <v>3.0339902980282323E-4</v>
      </c>
      <c r="C33" s="13">
        <f t="shared" si="1"/>
        <v>0.99994782137182248</v>
      </c>
    </row>
    <row r="34" spans="1:3" ht="15" customHeight="1" x14ac:dyDescent="0.25">
      <c r="A34" s="12">
        <v>5</v>
      </c>
      <c r="B34" s="13">
        <f t="shared" si="0"/>
        <v>7.2289580415182413E-5</v>
      </c>
      <c r="C34" s="13">
        <f t="shared" si="1"/>
        <v>0.99998851044246251</v>
      </c>
    </row>
    <row r="35" spans="1:3" ht="15" customHeight="1" x14ac:dyDescent="0.25">
      <c r="A35" s="12">
        <v>5.25</v>
      </c>
      <c r="B35" s="13">
        <f t="shared" si="0"/>
        <v>1.5200238772606686E-5</v>
      </c>
      <c r="C35" s="13">
        <f t="shared" si="1"/>
        <v>0.99999775533116375</v>
      </c>
    </row>
    <row r="36" spans="1:3" ht="15" customHeight="1" x14ac:dyDescent="0.25">
      <c r="A36" s="12">
        <v>5.5</v>
      </c>
      <c r="B36" s="13">
        <f t="shared" si="0"/>
        <v>2.8205792456037606E-6</v>
      </c>
      <c r="C36" s="13">
        <f t="shared" si="1"/>
        <v>0.99999961116868918</v>
      </c>
    </row>
    <row r="37" spans="1:3" ht="15" customHeight="1" x14ac:dyDescent="0.25">
      <c r="A37" s="12">
        <v>5.75</v>
      </c>
      <c r="B37" s="13">
        <f t="shared" si="0"/>
        <v>4.6189088462815349E-7</v>
      </c>
      <c r="C37" s="13">
        <f t="shared" si="1"/>
        <v>0.99999994031068873</v>
      </c>
    </row>
    <row r="38" spans="1:3" ht="15" customHeight="1" x14ac:dyDescent="0.25">
      <c r="A38" s="12">
        <v>6</v>
      </c>
      <c r="B38" s="13">
        <f t="shared" si="0"/>
        <v>6.6750368400566589E-8</v>
      </c>
      <c r="C38" s="13">
        <f t="shared" si="1"/>
        <v>0.99999999188364985</v>
      </c>
    </row>
    <row r="39" spans="1:3" ht="15" customHeight="1" x14ac:dyDescent="0.25">
      <c r="A39" s="12">
        <v>6.25</v>
      </c>
      <c r="B39" s="13">
        <f t="shared" si="0"/>
        <v>8.5129705716260312E-9</v>
      </c>
      <c r="C39" s="13">
        <f t="shared" si="1"/>
        <v>0.99999999902279513</v>
      </c>
    </row>
    <row r="40" spans="1:3" ht="15" customHeight="1" x14ac:dyDescent="0.25">
      <c r="A40" s="12">
        <v>6.5</v>
      </c>
      <c r="B40" s="13">
        <f t="shared" si="0"/>
        <v>9.5812415016638746E-10</v>
      </c>
      <c r="C40" s="13">
        <f t="shared" si="1"/>
        <v>0.99999999989585775</v>
      </c>
    </row>
    <row r="41" spans="1:3" ht="15" customHeight="1" x14ac:dyDescent="0.25">
      <c r="A41" s="12">
        <v>6.75</v>
      </c>
      <c r="B41" s="13">
        <f t="shared" si="0"/>
        <v>9.5164644954965493E-11</v>
      </c>
      <c r="C41" s="13">
        <f t="shared" si="1"/>
        <v>0.99999999999017886</v>
      </c>
    </row>
    <row r="42" spans="1:3" ht="15" customHeight="1" x14ac:dyDescent="0.25">
      <c r="A42" s="12">
        <v>7</v>
      </c>
      <c r="B42" s="13">
        <f t="shared" si="0"/>
        <v>8.3414714189790872E-12</v>
      </c>
      <c r="C42" s="13">
        <f t="shared" si="1"/>
        <v>0.99999999999918066</v>
      </c>
    </row>
    <row r="43" spans="1:3" ht="15" customHeight="1" x14ac:dyDescent="0.25">
      <c r="A43" s="12">
        <v>7.25</v>
      </c>
      <c r="B43" s="13">
        <f t="shared" si="0"/>
        <v>6.452423886584772E-13</v>
      </c>
      <c r="C43" s="13">
        <f t="shared" si="1"/>
        <v>0.99999999999993949</v>
      </c>
    </row>
    <row r="44" spans="1:3" ht="15" customHeight="1" x14ac:dyDescent="0.25">
      <c r="A44" s="12">
        <v>7.5</v>
      </c>
      <c r="B44" s="13">
        <f t="shared" si="0"/>
        <v>4.4046996942349241E-14</v>
      </c>
      <c r="C44" s="13">
        <f t="shared" si="1"/>
        <v>0.999999999999996</v>
      </c>
    </row>
    <row r="45" spans="1:3" ht="15" customHeight="1" x14ac:dyDescent="0.25">
      <c r="A45" s="12">
        <v>7.75</v>
      </c>
      <c r="B45" s="13">
        <f t="shared" si="0"/>
        <v>2.6535233152898342E-15</v>
      </c>
      <c r="C45" s="13">
        <f t="shared" si="1"/>
        <v>0.99999999999999978</v>
      </c>
    </row>
    <row r="46" spans="1:3" ht="15" customHeight="1" x14ac:dyDescent="0.25">
      <c r="A46" s="12">
        <v>8</v>
      </c>
      <c r="B46" s="13">
        <f t="shared" si="0"/>
        <v>1.4107261001764153E-16</v>
      </c>
      <c r="C46" s="13">
        <f t="shared" si="1"/>
        <v>1</v>
      </c>
    </row>
  </sheetData>
  <pageMargins left="0.75" right="0.75" top="1" bottom="1" header="0.511811023622047" footer="0.511811023622047"/>
  <pageSetup paperSize="9" orientation="portrait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1F3864"/>
  </sheetPr>
  <dimension ref="A1:P71"/>
  <sheetViews>
    <sheetView showGridLines="0" zoomScaleNormal="100" workbookViewId="0">
      <pane xSplit="2" ySplit="8" topLeftCell="C39" activePane="bottomRight" state="frozen"/>
      <selection pane="topRight" activeCell="C1" sqref="C1"/>
      <selection pane="bottomLeft" activeCell="A9" sqref="A9"/>
      <selection pane="bottomRight" activeCell="J58" sqref="J58"/>
    </sheetView>
  </sheetViews>
  <sheetFormatPr defaultColWidth="8.7109375" defaultRowHeight="15" x14ac:dyDescent="0.25"/>
  <cols>
    <col min="1" max="1" width="22.7109375" customWidth="1"/>
    <col min="2" max="2" width="10.85546875" customWidth="1"/>
    <col min="3" max="8" width="10" customWidth="1"/>
    <col min="9" max="9" width="16" customWidth="1"/>
    <col min="10" max="10" width="16.42578125" customWidth="1"/>
    <col min="11" max="14" width="13.140625" customWidth="1"/>
    <col min="15" max="15" width="4" customWidth="1"/>
  </cols>
  <sheetData>
    <row r="1" spans="1:16" ht="17.25" customHeight="1" x14ac:dyDescent="0.25">
      <c r="A1" s="1" t="s">
        <v>57</v>
      </c>
      <c r="P1">
        <v>-1</v>
      </c>
    </row>
    <row r="2" spans="1:16" ht="15" customHeight="1" x14ac:dyDescent="0.25">
      <c r="A2" s="5" t="s">
        <v>58</v>
      </c>
    </row>
    <row r="6" spans="1:16" ht="15" customHeight="1" x14ac:dyDescent="0.25">
      <c r="A6" s="4" t="s">
        <v>59</v>
      </c>
      <c r="C6" s="21">
        <v>1</v>
      </c>
      <c r="D6" s="21">
        <v>2</v>
      </c>
      <c r="E6" s="21">
        <v>3</v>
      </c>
      <c r="F6" s="21">
        <v>4</v>
      </c>
      <c r="G6" s="21">
        <v>5</v>
      </c>
      <c r="H6" s="21">
        <v>6</v>
      </c>
    </row>
    <row r="7" spans="1:16" ht="15" customHeight="1" x14ac:dyDescent="0.25">
      <c r="A7" s="4" t="s">
        <v>60</v>
      </c>
      <c r="C7" s="22">
        <f>'1_Normal_Model'!$I$14</f>
        <v>5.6440656657420818E-2</v>
      </c>
      <c r="D7" s="22">
        <f>'1_Normal_Model'!$I$15</f>
        <v>0.3150484540105018</v>
      </c>
      <c r="E7" s="22">
        <f>'1_Normal_Model'!$I$16</f>
        <v>0.31840602099625248</v>
      </c>
      <c r="F7" s="22">
        <f>'1_Normal_Model'!$I$17</f>
        <v>5.8297466383552016E-2</v>
      </c>
      <c r="G7" s="22">
        <f>'1_Normal_Model'!$I$18</f>
        <v>1.7987712367713217E-3</v>
      </c>
      <c r="H7" s="22">
        <f>'1_Normal_Model'!$I$19</f>
        <v>8.6307155015426936E-6</v>
      </c>
      <c r="I7" s="5" t="s">
        <v>61</v>
      </c>
    </row>
    <row r="8" spans="1:16" ht="23.25" customHeight="1" x14ac:dyDescent="0.25">
      <c r="A8" s="11" t="s">
        <v>62</v>
      </c>
      <c r="B8" s="11" t="s">
        <v>63</v>
      </c>
      <c r="C8" s="11" t="s">
        <v>64</v>
      </c>
      <c r="D8" s="11" t="s">
        <v>65</v>
      </c>
      <c r="E8" s="11" t="s">
        <v>66</v>
      </c>
      <c r="F8" s="11" t="s">
        <v>67</v>
      </c>
      <c r="G8" s="11" t="s">
        <v>68</v>
      </c>
      <c r="H8" s="11" t="s">
        <v>69</v>
      </c>
      <c r="I8" s="11" t="s">
        <v>70</v>
      </c>
      <c r="J8" s="11" t="s">
        <v>71</v>
      </c>
      <c r="K8" s="11" t="s">
        <v>72</v>
      </c>
      <c r="L8" s="11" t="s">
        <v>73</v>
      </c>
      <c r="M8" s="11" t="s">
        <v>158</v>
      </c>
      <c r="N8" s="11" t="s">
        <v>74</v>
      </c>
    </row>
    <row r="9" spans="1:16" ht="15" customHeight="1" x14ac:dyDescent="0.25">
      <c r="A9" s="37">
        <v>1</v>
      </c>
      <c r="B9" s="23">
        <v>487</v>
      </c>
      <c r="C9" s="51">
        <f>IF($A9-C$6+1&gt;=1,INDEX($B$9:$B$60,$A9-C$6+1)*C$7,0)</f>
        <v>27.48659979216394</v>
      </c>
      <c r="D9" s="51">
        <f t="shared" ref="D9:H9" si="0">IF($A9-D$6+1&gt;=1,INDEX($B$9:$B$60,$A9-D$6+1)*D$7,0)</f>
        <v>0</v>
      </c>
      <c r="E9" s="51">
        <f t="shared" si="0"/>
        <v>0</v>
      </c>
      <c r="F9" s="51">
        <f t="shared" si="0"/>
        <v>0</v>
      </c>
      <c r="G9" s="51">
        <f t="shared" si="0"/>
        <v>0</v>
      </c>
      <c r="H9" s="51">
        <f t="shared" si="0"/>
        <v>0</v>
      </c>
      <c r="I9" s="51">
        <f t="shared" ref="I9:I59" si="1">SUM($C9:$H9)</f>
        <v>27.48659979216394</v>
      </c>
      <c r="J9" s="26">
        <v>382</v>
      </c>
      <c r="K9" s="27">
        <f t="shared" ref="K9:K40" si="2">IF($N9=1,$I9-$J9,0)</f>
        <v>-354.51340020783607</v>
      </c>
      <c r="L9" s="24">
        <f t="shared" ref="L9:L59" si="3">ABS($K9)</f>
        <v>354.51340020783607</v>
      </c>
      <c r="M9" s="50">
        <f>L9/J9</f>
        <v>0.92804555028229341</v>
      </c>
      <c r="N9" s="28">
        <f t="shared" ref="N9:N59" si="4">IF(ISNUMBER($J9),1,0)</f>
        <v>1</v>
      </c>
    </row>
    <row r="10" spans="1:16" ht="15" customHeight="1" x14ac:dyDescent="0.25">
      <c r="A10" s="37">
        <v>2</v>
      </c>
      <c r="B10" s="23">
        <v>1553</v>
      </c>
      <c r="C10" s="51">
        <f t="shared" ref="C10:H59" si="5">IF($A10-C$6+1&gt;=1,INDEX($B$9:$B$60,$A10-C$6+1)*C$7,0)</f>
        <v>87.65233978897453</v>
      </c>
      <c r="D10" s="51">
        <f t="shared" si="5"/>
        <v>153.42859710311438</v>
      </c>
      <c r="E10" s="51">
        <f t="shared" si="5"/>
        <v>0</v>
      </c>
      <c r="F10" s="51">
        <f t="shared" si="5"/>
        <v>0</v>
      </c>
      <c r="G10" s="51">
        <f t="shared" si="5"/>
        <v>0</v>
      </c>
      <c r="H10" s="51">
        <f t="shared" si="5"/>
        <v>0</v>
      </c>
      <c r="I10" s="51">
        <f t="shared" si="1"/>
        <v>241.08093689208891</v>
      </c>
      <c r="J10" s="26">
        <v>1633</v>
      </c>
      <c r="K10" s="27">
        <f t="shared" si="2"/>
        <v>-1391.9190631079111</v>
      </c>
      <c r="L10" s="24">
        <f t="shared" si="3"/>
        <v>1391.9190631079111</v>
      </c>
      <c r="M10" s="50">
        <f t="shared" ref="M10:M59" si="6">L10/J10</f>
        <v>0.85236929767783909</v>
      </c>
      <c r="N10" s="28">
        <f t="shared" si="4"/>
        <v>1</v>
      </c>
    </row>
    <row r="11" spans="1:16" ht="15" customHeight="1" x14ac:dyDescent="0.25">
      <c r="A11" s="37">
        <v>3</v>
      </c>
      <c r="B11" s="23">
        <v>2296</v>
      </c>
      <c r="C11" s="51">
        <f t="shared" si="5"/>
        <v>129.58774768543819</v>
      </c>
      <c r="D11" s="51">
        <f t="shared" si="5"/>
        <v>489.27024907830929</v>
      </c>
      <c r="E11" s="51">
        <f t="shared" si="5"/>
        <v>155.06373222517496</v>
      </c>
      <c r="F11" s="51">
        <f t="shared" si="5"/>
        <v>0</v>
      </c>
      <c r="G11" s="51">
        <f t="shared" si="5"/>
        <v>0</v>
      </c>
      <c r="H11" s="51">
        <f t="shared" si="5"/>
        <v>0</v>
      </c>
      <c r="I11" s="51">
        <f t="shared" si="1"/>
        <v>773.92172898892238</v>
      </c>
      <c r="J11" s="26">
        <v>1765</v>
      </c>
      <c r="K11" s="27">
        <f t="shared" si="2"/>
        <v>-991.07827101107762</v>
      </c>
      <c r="L11" s="24">
        <f t="shared" si="3"/>
        <v>991.07827101107762</v>
      </c>
      <c r="M11" s="50">
        <f t="shared" si="6"/>
        <v>0.56151743400061049</v>
      </c>
      <c r="N11" s="28">
        <f t="shared" si="4"/>
        <v>1</v>
      </c>
    </row>
    <row r="12" spans="1:16" ht="15" customHeight="1" x14ac:dyDescent="0.25">
      <c r="A12" s="37">
        <v>4</v>
      </c>
      <c r="B12" s="23">
        <v>1499</v>
      </c>
      <c r="C12" s="51">
        <f t="shared" si="5"/>
        <v>84.604544329473811</v>
      </c>
      <c r="D12" s="51">
        <f t="shared" si="5"/>
        <v>723.35125040811215</v>
      </c>
      <c r="E12" s="51">
        <f t="shared" si="5"/>
        <v>494.4845506071801</v>
      </c>
      <c r="F12" s="51">
        <f t="shared" si="5"/>
        <v>28.390866128789831</v>
      </c>
      <c r="G12" s="51">
        <f t="shared" si="5"/>
        <v>0</v>
      </c>
      <c r="H12" s="51">
        <f t="shared" si="5"/>
        <v>0</v>
      </c>
      <c r="I12" s="51">
        <f t="shared" si="1"/>
        <v>1330.8312114735559</v>
      </c>
      <c r="J12" s="26">
        <v>1553</v>
      </c>
      <c r="K12" s="27">
        <f t="shared" si="2"/>
        <v>-222.16878852644413</v>
      </c>
      <c r="L12" s="24">
        <f t="shared" si="3"/>
        <v>222.16878852644413</v>
      </c>
      <c r="M12" s="50">
        <f t="shared" si="6"/>
        <v>0.14305781617929436</v>
      </c>
      <c r="N12" s="28">
        <f t="shared" si="4"/>
        <v>1</v>
      </c>
    </row>
    <row r="13" spans="1:16" ht="15" customHeight="1" x14ac:dyDescent="0.25">
      <c r="A13" s="37">
        <v>5</v>
      </c>
      <c r="B13" s="23">
        <v>1500</v>
      </c>
      <c r="C13" s="51">
        <f t="shared" si="5"/>
        <v>84.660984986131226</v>
      </c>
      <c r="D13" s="51">
        <f t="shared" si="5"/>
        <v>472.25763256174218</v>
      </c>
      <c r="E13" s="51">
        <f t="shared" si="5"/>
        <v>731.06022420739566</v>
      </c>
      <c r="F13" s="51">
        <f t="shared" si="5"/>
        <v>90.535965293656275</v>
      </c>
      <c r="G13" s="51">
        <f t="shared" si="5"/>
        <v>0.87600159230763364</v>
      </c>
      <c r="H13" s="51">
        <f t="shared" si="5"/>
        <v>0</v>
      </c>
      <c r="I13" s="51">
        <f t="shared" si="1"/>
        <v>1379.390808641233</v>
      </c>
      <c r="J13" s="26">
        <v>1782</v>
      </c>
      <c r="K13" s="27">
        <f t="shared" si="2"/>
        <v>-402.60919135876702</v>
      </c>
      <c r="L13" s="24">
        <f t="shared" si="3"/>
        <v>402.60919135876702</v>
      </c>
      <c r="M13" s="50">
        <f t="shared" si="6"/>
        <v>0.22593108381524524</v>
      </c>
      <c r="N13" s="28">
        <f t="shared" si="4"/>
        <v>1</v>
      </c>
    </row>
    <row r="14" spans="1:16" ht="15" customHeight="1" x14ac:dyDescent="0.25">
      <c r="A14" s="37">
        <v>6</v>
      </c>
      <c r="B14" s="23">
        <v>1416</v>
      </c>
      <c r="C14" s="51">
        <f t="shared" si="5"/>
        <v>79.919969826907874</v>
      </c>
      <c r="D14" s="51">
        <f t="shared" si="5"/>
        <v>472.57268101575272</v>
      </c>
      <c r="E14" s="51">
        <f t="shared" si="5"/>
        <v>477.29062547338248</v>
      </c>
      <c r="F14" s="51">
        <f t="shared" si="5"/>
        <v>133.85098281663542</v>
      </c>
      <c r="G14" s="51">
        <f t="shared" si="5"/>
        <v>2.7934917307058629</v>
      </c>
      <c r="H14" s="51">
        <f t="shared" si="5"/>
        <v>4.2031584492512918E-3</v>
      </c>
      <c r="I14" s="51">
        <f t="shared" si="1"/>
        <v>1166.4319540218337</v>
      </c>
      <c r="J14" s="26">
        <v>1821</v>
      </c>
      <c r="K14" s="27">
        <f t="shared" si="2"/>
        <v>-654.56804597816631</v>
      </c>
      <c r="L14" s="24">
        <f t="shared" si="3"/>
        <v>654.56804597816631</v>
      </c>
      <c r="M14" s="50">
        <f t="shared" si="6"/>
        <v>0.35945526962008034</v>
      </c>
      <c r="N14" s="28">
        <f t="shared" si="4"/>
        <v>1</v>
      </c>
    </row>
    <row r="15" spans="1:16" ht="15" customHeight="1" x14ac:dyDescent="0.25">
      <c r="A15" s="37">
        <v>7</v>
      </c>
      <c r="B15" s="23">
        <v>1309</v>
      </c>
      <c r="C15" s="51">
        <f t="shared" si="5"/>
        <v>73.880819564563851</v>
      </c>
      <c r="D15" s="51">
        <f t="shared" si="5"/>
        <v>446.10861087887054</v>
      </c>
      <c r="E15" s="51">
        <f t="shared" si="5"/>
        <v>477.60903149437871</v>
      </c>
      <c r="F15" s="51">
        <f t="shared" si="5"/>
        <v>87.387902108944473</v>
      </c>
      <c r="G15" s="51">
        <f t="shared" si="5"/>
        <v>4.1299787596269546</v>
      </c>
      <c r="H15" s="51">
        <f t="shared" si="5"/>
        <v>1.3403501173895804E-2</v>
      </c>
      <c r="I15" s="51">
        <f t="shared" si="1"/>
        <v>1089.1297463075582</v>
      </c>
      <c r="J15" s="23">
        <v>1399</v>
      </c>
      <c r="K15" s="27">
        <f t="shared" si="2"/>
        <v>-309.87025369244179</v>
      </c>
      <c r="L15" s="24">
        <f t="shared" si="3"/>
        <v>309.87025369244179</v>
      </c>
      <c r="M15" s="50">
        <f t="shared" si="6"/>
        <v>0.22149410557000843</v>
      </c>
      <c r="N15" s="28">
        <f t="shared" si="4"/>
        <v>1</v>
      </c>
    </row>
    <row r="16" spans="1:16" ht="15" customHeight="1" x14ac:dyDescent="0.25">
      <c r="A16" s="37">
        <v>8</v>
      </c>
      <c r="B16" s="23">
        <v>1475</v>
      </c>
      <c r="C16" s="51">
        <f t="shared" si="5"/>
        <v>83.24996856969571</v>
      </c>
      <c r="D16" s="51">
        <f t="shared" si="5"/>
        <v>412.39842629974686</v>
      </c>
      <c r="E16" s="51">
        <f t="shared" si="5"/>
        <v>450.86292573069352</v>
      </c>
      <c r="F16" s="51">
        <f t="shared" si="5"/>
        <v>87.446199575328023</v>
      </c>
      <c r="G16" s="51">
        <f t="shared" si="5"/>
        <v>2.6963580839202113</v>
      </c>
      <c r="H16" s="51">
        <f t="shared" si="5"/>
        <v>1.9816122791542025E-2</v>
      </c>
      <c r="I16" s="51">
        <f t="shared" si="1"/>
        <v>1036.6736943821759</v>
      </c>
      <c r="J16" s="23">
        <v>1498</v>
      </c>
      <c r="K16" s="27">
        <f t="shared" si="2"/>
        <v>-461.32630561782412</v>
      </c>
      <c r="L16" s="24">
        <f t="shared" si="3"/>
        <v>461.32630561782412</v>
      </c>
      <c r="M16" s="50">
        <f t="shared" si="6"/>
        <v>0.30796148572618431</v>
      </c>
      <c r="N16" s="28">
        <f t="shared" si="4"/>
        <v>1</v>
      </c>
    </row>
    <row r="17" spans="1:14" ht="15" customHeight="1" x14ac:dyDescent="0.25">
      <c r="A17" s="37">
        <v>9</v>
      </c>
      <c r="B17" s="23">
        <v>1357</v>
      </c>
      <c r="C17" s="51">
        <f t="shared" si="5"/>
        <v>76.589971084120052</v>
      </c>
      <c r="D17" s="51">
        <f t="shared" si="5"/>
        <v>464.69646966549016</v>
      </c>
      <c r="E17" s="51">
        <f t="shared" si="5"/>
        <v>416.79348148409451</v>
      </c>
      <c r="F17" s="51">
        <f t="shared" si="5"/>
        <v>82.549212399109649</v>
      </c>
      <c r="G17" s="51">
        <f t="shared" si="5"/>
        <v>2.6981568551569826</v>
      </c>
      <c r="H17" s="51">
        <f t="shared" si="5"/>
        <v>1.2937442536812498E-2</v>
      </c>
      <c r="I17" s="51">
        <f t="shared" si="1"/>
        <v>1043.3402289305084</v>
      </c>
      <c r="J17" s="23">
        <v>1511</v>
      </c>
      <c r="K17" s="27">
        <f t="shared" si="2"/>
        <v>-467.65977106949163</v>
      </c>
      <c r="L17" s="24">
        <f t="shared" si="3"/>
        <v>467.65977106949163</v>
      </c>
      <c r="M17" s="50">
        <f t="shared" si="6"/>
        <v>0.30950348846425652</v>
      </c>
      <c r="N17" s="28">
        <f t="shared" si="4"/>
        <v>1</v>
      </c>
    </row>
    <row r="18" spans="1:14" ht="15" customHeight="1" x14ac:dyDescent="0.25">
      <c r="A18" s="37">
        <v>10</v>
      </c>
      <c r="B18" s="23">
        <v>1308</v>
      </c>
      <c r="C18" s="51">
        <f t="shared" si="5"/>
        <v>73.824378907906436</v>
      </c>
      <c r="D18" s="51">
        <f t="shared" si="5"/>
        <v>427.52075209225092</v>
      </c>
      <c r="E18" s="51">
        <f t="shared" si="5"/>
        <v>469.64888096947243</v>
      </c>
      <c r="F18" s="51">
        <f t="shared" si="5"/>
        <v>76.311383496069595</v>
      </c>
      <c r="G18" s="51">
        <f t="shared" si="5"/>
        <v>2.5470600712681915</v>
      </c>
      <c r="H18" s="51">
        <f t="shared" si="5"/>
        <v>1.294607325231404E-2</v>
      </c>
      <c r="I18" s="51">
        <f t="shared" si="1"/>
        <v>1049.8654016102198</v>
      </c>
      <c r="J18" s="23">
        <v>1235</v>
      </c>
      <c r="K18" s="27">
        <f t="shared" si="2"/>
        <v>-185.13459838978019</v>
      </c>
      <c r="L18" s="24">
        <f t="shared" si="3"/>
        <v>185.13459838978019</v>
      </c>
      <c r="M18" s="50">
        <f t="shared" si="6"/>
        <v>0.14990655740063175</v>
      </c>
      <c r="N18" s="28">
        <f t="shared" si="4"/>
        <v>1</v>
      </c>
    </row>
    <row r="19" spans="1:14" ht="15" customHeight="1" x14ac:dyDescent="0.25">
      <c r="A19" s="37">
        <v>11</v>
      </c>
      <c r="B19" s="23">
        <v>1419</v>
      </c>
      <c r="C19" s="51">
        <f t="shared" si="5"/>
        <v>80.089291796880147</v>
      </c>
      <c r="D19" s="51">
        <f t="shared" si="5"/>
        <v>412.08337784573638</v>
      </c>
      <c r="E19" s="51">
        <f t="shared" si="5"/>
        <v>432.07697049191461</v>
      </c>
      <c r="F19" s="51">
        <f t="shared" si="5"/>
        <v>85.98876291573923</v>
      </c>
      <c r="G19" s="51">
        <f t="shared" si="5"/>
        <v>2.35459154893366</v>
      </c>
      <c r="H19" s="51">
        <f t="shared" si="5"/>
        <v>1.2221093150184454E-2</v>
      </c>
      <c r="I19" s="51">
        <f t="shared" si="1"/>
        <v>1012.6052156923541</v>
      </c>
      <c r="J19" s="23">
        <v>1363</v>
      </c>
      <c r="K19" s="27">
        <f t="shared" si="2"/>
        <v>-350.39478430764586</v>
      </c>
      <c r="L19" s="24">
        <f t="shared" si="3"/>
        <v>350.39478430764586</v>
      </c>
      <c r="M19" s="50">
        <f t="shared" si="6"/>
        <v>0.25707614402615253</v>
      </c>
      <c r="N19" s="28">
        <f t="shared" si="4"/>
        <v>1</v>
      </c>
    </row>
    <row r="20" spans="1:14" ht="15" customHeight="1" x14ac:dyDescent="0.25">
      <c r="A20" s="37">
        <v>12</v>
      </c>
      <c r="B20" s="23">
        <v>1335</v>
      </c>
      <c r="C20" s="51">
        <f t="shared" si="5"/>
        <v>75.348276637656795</v>
      </c>
      <c r="D20" s="51">
        <f t="shared" si="5"/>
        <v>447.05375624090203</v>
      </c>
      <c r="E20" s="51">
        <f t="shared" si="5"/>
        <v>416.47507546309822</v>
      </c>
      <c r="F20" s="51">
        <f t="shared" si="5"/>
        <v>79.109661882480083</v>
      </c>
      <c r="G20" s="51">
        <f t="shared" si="5"/>
        <v>2.6531875742376996</v>
      </c>
      <c r="H20" s="51">
        <f t="shared" si="5"/>
        <v>1.1297606591519386E-2</v>
      </c>
      <c r="I20" s="51">
        <f t="shared" si="1"/>
        <v>1020.6512554049663</v>
      </c>
      <c r="J20" s="23">
        <v>1141</v>
      </c>
      <c r="K20" s="27">
        <f t="shared" si="2"/>
        <v>-120.34874459503374</v>
      </c>
      <c r="L20" s="24">
        <f t="shared" si="3"/>
        <v>120.34874459503374</v>
      </c>
      <c r="M20" s="50">
        <f t="shared" si="6"/>
        <v>0.10547655091589285</v>
      </c>
      <c r="N20" s="28">
        <f t="shared" si="4"/>
        <v>1</v>
      </c>
    </row>
    <row r="21" spans="1:14" ht="15" customHeight="1" x14ac:dyDescent="0.25">
      <c r="A21" s="37">
        <v>13</v>
      </c>
      <c r="B21" s="23">
        <v>1221</v>
      </c>
      <c r="C21" s="51">
        <f t="shared" si="5"/>
        <v>68.914041778710825</v>
      </c>
      <c r="D21" s="51">
        <f t="shared" si="5"/>
        <v>420.5896861040199</v>
      </c>
      <c r="E21" s="51">
        <f t="shared" si="5"/>
        <v>451.81814379368228</v>
      </c>
      <c r="F21" s="51">
        <f t="shared" si="5"/>
        <v>76.253086029686031</v>
      </c>
      <c r="G21" s="51">
        <f t="shared" si="5"/>
        <v>2.4409325682986838</v>
      </c>
      <c r="H21" s="51">
        <f t="shared" si="5"/>
        <v>1.2730305364775473E-2</v>
      </c>
      <c r="I21" s="51">
        <f t="shared" si="1"/>
        <v>1020.0286205797626</v>
      </c>
      <c r="J21" s="23">
        <v>1628</v>
      </c>
      <c r="K21" s="27">
        <f t="shared" si="2"/>
        <v>-607.97137942023744</v>
      </c>
      <c r="L21" s="24">
        <f t="shared" si="3"/>
        <v>607.97137942023744</v>
      </c>
      <c r="M21" s="50">
        <f t="shared" si="6"/>
        <v>0.37344679325567409</v>
      </c>
      <c r="N21" s="28">
        <f t="shared" si="4"/>
        <v>1</v>
      </c>
    </row>
    <row r="22" spans="1:14" ht="15" customHeight="1" x14ac:dyDescent="0.25">
      <c r="A22" s="37">
        <v>14</v>
      </c>
      <c r="B22" s="23">
        <v>3465</v>
      </c>
      <c r="C22" s="51">
        <f t="shared" si="5"/>
        <v>195.56687531796314</v>
      </c>
      <c r="D22" s="51">
        <f t="shared" si="5"/>
        <v>384.6741623468227</v>
      </c>
      <c r="E22" s="51">
        <f t="shared" si="5"/>
        <v>425.07203802999709</v>
      </c>
      <c r="F22" s="51">
        <f t="shared" si="5"/>
        <v>82.724104798260313</v>
      </c>
      <c r="G22" s="51">
        <f t="shared" si="5"/>
        <v>2.3527927776968887</v>
      </c>
      <c r="H22" s="51">
        <f t="shared" si="5"/>
        <v>1.1711880935593435E-2</v>
      </c>
      <c r="I22" s="51">
        <f t="shared" si="1"/>
        <v>1090.4016851516756</v>
      </c>
      <c r="J22" s="23">
        <v>1642</v>
      </c>
      <c r="K22" s="27">
        <f t="shared" si="2"/>
        <v>-551.59831484832443</v>
      </c>
      <c r="L22" s="24">
        <f t="shared" si="3"/>
        <v>551.59831484832443</v>
      </c>
      <c r="M22" s="50">
        <f t="shared" si="6"/>
        <v>0.3359307642194424</v>
      </c>
      <c r="N22" s="28">
        <f t="shared" si="4"/>
        <v>1</v>
      </c>
    </row>
    <row r="23" spans="1:14" ht="15" customHeight="1" x14ac:dyDescent="0.25">
      <c r="A23" s="37">
        <v>15</v>
      </c>
      <c r="B23" s="23">
        <v>2348</v>
      </c>
      <c r="C23" s="51">
        <f t="shared" si="5"/>
        <v>132.52266183162408</v>
      </c>
      <c r="D23" s="51">
        <f t="shared" si="5"/>
        <v>1091.6428931463888</v>
      </c>
      <c r="E23" s="51">
        <f t="shared" si="5"/>
        <v>388.77375163642427</v>
      </c>
      <c r="F23" s="51">
        <f t="shared" si="5"/>
        <v>77.827117622041939</v>
      </c>
      <c r="G23" s="51">
        <f t="shared" si="5"/>
        <v>2.5524563849785054</v>
      </c>
      <c r="H23" s="51">
        <f t="shared" si="5"/>
        <v>1.1288975876017843E-2</v>
      </c>
      <c r="I23" s="51">
        <f t="shared" si="1"/>
        <v>1693.3301695973337</v>
      </c>
      <c r="J23" s="23">
        <v>2434</v>
      </c>
      <c r="K23" s="27">
        <f t="shared" si="2"/>
        <v>-740.66983040266632</v>
      </c>
      <c r="L23" s="24">
        <f t="shared" si="3"/>
        <v>740.66983040266632</v>
      </c>
      <c r="M23" s="50">
        <f t="shared" si="6"/>
        <v>0.30430149153766078</v>
      </c>
      <c r="N23" s="28">
        <f t="shared" si="4"/>
        <v>1</v>
      </c>
    </row>
    <row r="24" spans="1:14" ht="15" customHeight="1" x14ac:dyDescent="0.25">
      <c r="A24" s="37">
        <v>16</v>
      </c>
      <c r="B24" s="23">
        <v>2674</v>
      </c>
      <c r="C24" s="51">
        <f t="shared" si="5"/>
        <v>150.92231590194328</v>
      </c>
      <c r="D24" s="51">
        <f t="shared" si="5"/>
        <v>739.73377001665824</v>
      </c>
      <c r="E24" s="51">
        <f t="shared" si="5"/>
        <v>1103.2768627520149</v>
      </c>
      <c r="F24" s="51">
        <f t="shared" si="5"/>
        <v>71.181206454317007</v>
      </c>
      <c r="G24" s="51">
        <f t="shared" si="5"/>
        <v>2.4013596010897147</v>
      </c>
      <c r="H24" s="51">
        <f t="shared" si="5"/>
        <v>1.2246985296689081E-2</v>
      </c>
      <c r="I24" s="51">
        <f t="shared" si="1"/>
        <v>2067.5277617113197</v>
      </c>
      <c r="J24" s="23">
        <v>2522</v>
      </c>
      <c r="K24" s="27">
        <f t="shared" si="2"/>
        <v>-454.47223828868027</v>
      </c>
      <c r="L24" s="24">
        <f t="shared" si="3"/>
        <v>454.47223828868027</v>
      </c>
      <c r="M24" s="50">
        <f t="shared" si="6"/>
        <v>0.18020310796537678</v>
      </c>
      <c r="N24" s="28">
        <f t="shared" si="4"/>
        <v>1</v>
      </c>
    </row>
    <row r="25" spans="1:14" ht="15" customHeight="1" x14ac:dyDescent="0.25">
      <c r="A25" s="37">
        <v>17</v>
      </c>
      <c r="B25" s="23">
        <v>2621</v>
      </c>
      <c r="C25" s="51">
        <f t="shared" si="5"/>
        <v>147.93096109909996</v>
      </c>
      <c r="D25" s="51">
        <f t="shared" si="5"/>
        <v>842.43956602408184</v>
      </c>
      <c r="E25" s="51">
        <f t="shared" si="5"/>
        <v>747.61733729920081</v>
      </c>
      <c r="F25" s="51">
        <f t="shared" si="5"/>
        <v>202.00072101900773</v>
      </c>
      <c r="G25" s="51">
        <f t="shared" si="5"/>
        <v>2.1962996800977836</v>
      </c>
      <c r="H25" s="51">
        <f t="shared" si="5"/>
        <v>1.1522005194559495E-2</v>
      </c>
      <c r="I25" s="51">
        <f t="shared" si="1"/>
        <v>1942.1964071266827</v>
      </c>
      <c r="J25" s="23">
        <v>1983</v>
      </c>
      <c r="K25" s="27">
        <f t="shared" si="2"/>
        <v>-40.803592873317257</v>
      </c>
      <c r="L25" s="24">
        <f t="shared" si="3"/>
        <v>40.803592873317257</v>
      </c>
      <c r="M25" s="50">
        <f t="shared" si="6"/>
        <v>2.0576698372827662E-2</v>
      </c>
      <c r="N25" s="28">
        <f t="shared" si="4"/>
        <v>1</v>
      </c>
    </row>
    <row r="26" spans="1:14" ht="15" customHeight="1" x14ac:dyDescent="0.25">
      <c r="A26" s="37">
        <v>18</v>
      </c>
      <c r="B26" s="23">
        <v>2334</v>
      </c>
      <c r="C26" s="51">
        <f t="shared" si="5"/>
        <v>131.73249263842018</v>
      </c>
      <c r="D26" s="51">
        <f t="shared" si="5"/>
        <v>825.74199796152527</v>
      </c>
      <c r="E26" s="51">
        <f t="shared" si="5"/>
        <v>851.41770014397912</v>
      </c>
      <c r="F26" s="51">
        <f t="shared" si="5"/>
        <v>136.88245106858014</v>
      </c>
      <c r="G26" s="51">
        <f t="shared" si="5"/>
        <v>6.2327423354126301</v>
      </c>
      <c r="H26" s="51">
        <f t="shared" si="5"/>
        <v>1.0538103627383629E-2</v>
      </c>
      <c r="I26" s="51">
        <f t="shared" si="1"/>
        <v>1952.0179222515449</v>
      </c>
      <c r="J26" s="23">
        <v>2348</v>
      </c>
      <c r="K26" s="27">
        <f t="shared" si="2"/>
        <v>-395.98207774845514</v>
      </c>
      <c r="L26" s="24">
        <f t="shared" si="3"/>
        <v>395.98207774845514</v>
      </c>
      <c r="M26" s="50">
        <f t="shared" si="6"/>
        <v>0.16864654077872876</v>
      </c>
      <c r="N26" s="28">
        <f t="shared" si="4"/>
        <v>1</v>
      </c>
    </row>
    <row r="27" spans="1:14" ht="15" customHeight="1" x14ac:dyDescent="0.25">
      <c r="A27" s="37">
        <v>19</v>
      </c>
      <c r="B27" s="23">
        <v>1500</v>
      </c>
      <c r="C27" s="51">
        <f t="shared" si="5"/>
        <v>84.660984986131226</v>
      </c>
      <c r="D27" s="51">
        <f t="shared" si="5"/>
        <v>735.32309166051118</v>
      </c>
      <c r="E27" s="51">
        <f t="shared" si="5"/>
        <v>834.54218103117773</v>
      </c>
      <c r="F27" s="51">
        <f t="shared" si="5"/>
        <v>155.88742510961808</v>
      </c>
      <c r="G27" s="51">
        <f t="shared" si="5"/>
        <v>4.2235148639390632</v>
      </c>
      <c r="H27" s="51">
        <f t="shared" si="5"/>
        <v>2.9905429212845433E-2</v>
      </c>
      <c r="I27" s="51">
        <f t="shared" si="1"/>
        <v>1814.6671030805901</v>
      </c>
      <c r="J27" s="23">
        <v>1905</v>
      </c>
      <c r="K27" s="27">
        <f t="shared" si="2"/>
        <v>-90.332896919409905</v>
      </c>
      <c r="L27" s="24">
        <f t="shared" si="3"/>
        <v>90.332896919409905</v>
      </c>
      <c r="M27" s="50">
        <f t="shared" si="6"/>
        <v>4.7418843527249295E-2</v>
      </c>
      <c r="N27" s="28">
        <f t="shared" si="4"/>
        <v>1</v>
      </c>
    </row>
    <row r="28" spans="1:14" ht="15" customHeight="1" x14ac:dyDescent="0.25">
      <c r="A28" s="37">
        <v>20</v>
      </c>
      <c r="B28" s="23">
        <v>2433</v>
      </c>
      <c r="C28" s="51">
        <f t="shared" si="5"/>
        <v>137.32011764750484</v>
      </c>
      <c r="D28" s="51">
        <f t="shared" si="5"/>
        <v>472.57268101575272</v>
      </c>
      <c r="E28" s="51">
        <f t="shared" si="5"/>
        <v>743.15965300525329</v>
      </c>
      <c r="F28" s="51">
        <f t="shared" si="5"/>
        <v>152.79765939128984</v>
      </c>
      <c r="G28" s="51">
        <f t="shared" si="5"/>
        <v>4.8099142871265146</v>
      </c>
      <c r="H28" s="51">
        <f t="shared" si="5"/>
        <v>2.0264919997622245E-2</v>
      </c>
      <c r="I28" s="51">
        <f t="shared" si="1"/>
        <v>1510.6802902669249</v>
      </c>
      <c r="J28" s="23">
        <v>2353</v>
      </c>
      <c r="K28" s="27">
        <f t="shared" si="2"/>
        <v>-842.31970973307511</v>
      </c>
      <c r="L28" s="24">
        <f t="shared" si="3"/>
        <v>842.31970973307511</v>
      </c>
      <c r="M28" s="50">
        <f t="shared" si="6"/>
        <v>0.35797692721337659</v>
      </c>
      <c r="N28" s="28">
        <f t="shared" si="4"/>
        <v>1</v>
      </c>
    </row>
    <row r="29" spans="1:14" ht="15" customHeight="1" x14ac:dyDescent="0.25">
      <c r="A29" s="37">
        <v>21</v>
      </c>
      <c r="B29" s="23">
        <v>2208</v>
      </c>
      <c r="C29" s="51">
        <f t="shared" si="5"/>
        <v>124.62096989958516</v>
      </c>
      <c r="D29" s="51">
        <f t="shared" si="5"/>
        <v>766.51288860755085</v>
      </c>
      <c r="E29" s="51">
        <f t="shared" si="5"/>
        <v>477.60903149437871</v>
      </c>
      <c r="F29" s="51">
        <f t="shared" si="5"/>
        <v>136.06628653921041</v>
      </c>
      <c r="G29" s="51">
        <f t="shared" si="5"/>
        <v>4.7145794115776347</v>
      </c>
      <c r="H29" s="51">
        <f t="shared" si="5"/>
        <v>2.3078533251125164E-2</v>
      </c>
      <c r="I29" s="51">
        <f t="shared" si="1"/>
        <v>1509.5468344855542</v>
      </c>
      <c r="J29" s="23">
        <v>1993</v>
      </c>
      <c r="K29" s="27">
        <f t="shared" si="2"/>
        <v>-483.4531655144458</v>
      </c>
      <c r="L29" s="24">
        <f t="shared" si="3"/>
        <v>483.4531655144458</v>
      </c>
      <c r="M29" s="50">
        <f t="shared" si="6"/>
        <v>0.24257559734794068</v>
      </c>
      <c r="N29" s="28">
        <f t="shared" si="4"/>
        <v>1</v>
      </c>
    </row>
    <row r="30" spans="1:14" ht="15" customHeight="1" x14ac:dyDescent="0.25">
      <c r="A30" s="37">
        <v>22</v>
      </c>
      <c r="B30" s="23">
        <v>1595</v>
      </c>
      <c r="C30" s="51">
        <f t="shared" si="5"/>
        <v>90.022847368586199</v>
      </c>
      <c r="D30" s="51">
        <f t="shared" si="5"/>
        <v>695.62698645518799</v>
      </c>
      <c r="E30" s="51">
        <f t="shared" si="5"/>
        <v>774.6818490838823</v>
      </c>
      <c r="F30" s="51">
        <f t="shared" si="5"/>
        <v>87.446199575328023</v>
      </c>
      <c r="G30" s="51">
        <f t="shared" si="5"/>
        <v>4.1983320666242649</v>
      </c>
      <c r="H30" s="51">
        <f t="shared" si="5"/>
        <v>2.2621105329543399E-2</v>
      </c>
      <c r="I30" s="51">
        <f t="shared" si="1"/>
        <v>1651.9988356549386</v>
      </c>
      <c r="J30" s="23">
        <v>2200</v>
      </c>
      <c r="K30" s="27">
        <f t="shared" si="2"/>
        <v>-548.0011643450614</v>
      </c>
      <c r="L30" s="24">
        <f t="shared" si="3"/>
        <v>548.0011643450614</v>
      </c>
      <c r="M30" s="50">
        <f t="shared" si="6"/>
        <v>0.24909143833866426</v>
      </c>
      <c r="N30" s="28">
        <f t="shared" si="4"/>
        <v>1</v>
      </c>
    </row>
    <row r="31" spans="1:14" ht="15" customHeight="1" x14ac:dyDescent="0.25">
      <c r="A31" s="37">
        <v>23</v>
      </c>
      <c r="B31" s="23">
        <v>2277</v>
      </c>
      <c r="C31" s="51">
        <f t="shared" si="5"/>
        <v>128.51537520894721</v>
      </c>
      <c r="D31" s="51">
        <f t="shared" si="5"/>
        <v>502.50228414675036</v>
      </c>
      <c r="E31" s="51">
        <f t="shared" si="5"/>
        <v>703.04049435972547</v>
      </c>
      <c r="F31" s="51">
        <f t="shared" si="5"/>
        <v>141.83773571118206</v>
      </c>
      <c r="G31" s="51">
        <f t="shared" si="5"/>
        <v>2.6981568551569826</v>
      </c>
      <c r="H31" s="51">
        <f t="shared" si="5"/>
        <v>2.0144089980600646E-2</v>
      </c>
      <c r="I31" s="51">
        <f t="shared" si="1"/>
        <v>1478.614190371743</v>
      </c>
      <c r="J31" s="23">
        <v>1858</v>
      </c>
      <c r="K31" s="27">
        <f t="shared" si="2"/>
        <v>-379.38580962825699</v>
      </c>
      <c r="L31" s="24">
        <f t="shared" si="3"/>
        <v>379.38580962825699</v>
      </c>
      <c r="M31" s="50">
        <f t="shared" si="6"/>
        <v>0.20419042498829762</v>
      </c>
      <c r="N31" s="28">
        <f t="shared" si="4"/>
        <v>1</v>
      </c>
    </row>
    <row r="32" spans="1:14" ht="15" customHeight="1" x14ac:dyDescent="0.25">
      <c r="A32" s="37">
        <v>24</v>
      </c>
      <c r="B32" s="23">
        <v>3206</v>
      </c>
      <c r="C32" s="51">
        <f t="shared" si="5"/>
        <v>180.94874524369115</v>
      </c>
      <c r="D32" s="51">
        <f t="shared" si="5"/>
        <v>717.36532978191258</v>
      </c>
      <c r="E32" s="51">
        <f t="shared" si="5"/>
        <v>507.85760348902272</v>
      </c>
      <c r="F32" s="51">
        <f t="shared" si="5"/>
        <v>128.72080577488285</v>
      </c>
      <c r="G32" s="51">
        <f t="shared" si="5"/>
        <v>4.3764104190646256</v>
      </c>
      <c r="H32" s="51">
        <f t="shared" si="5"/>
        <v>1.294607325231404E-2</v>
      </c>
      <c r="I32" s="51">
        <f t="shared" si="1"/>
        <v>1539.2818407818261</v>
      </c>
      <c r="J32" s="23">
        <v>2129</v>
      </c>
      <c r="K32" s="27">
        <f t="shared" si="2"/>
        <v>-589.71815921817392</v>
      </c>
      <c r="L32" s="24">
        <f t="shared" si="3"/>
        <v>589.71815921817392</v>
      </c>
      <c r="M32" s="50">
        <f t="shared" si="6"/>
        <v>0.27699302922413055</v>
      </c>
      <c r="N32" s="28">
        <f t="shared" si="4"/>
        <v>1</v>
      </c>
    </row>
    <row r="33" spans="1:14" ht="15" customHeight="1" x14ac:dyDescent="0.25">
      <c r="A33" s="37">
        <v>25</v>
      </c>
      <c r="B33" s="23">
        <v>2233</v>
      </c>
      <c r="C33" s="51">
        <f t="shared" si="5"/>
        <v>126.03198631602069</v>
      </c>
      <c r="D33" s="51">
        <f t="shared" si="5"/>
        <v>1010.0453435576687</v>
      </c>
      <c r="E33" s="51">
        <f t="shared" si="5"/>
        <v>725.01050980846685</v>
      </c>
      <c r="F33" s="51">
        <f t="shared" si="5"/>
        <v>92.984458881765462</v>
      </c>
      <c r="G33" s="51">
        <f t="shared" si="5"/>
        <v>3.9716868907910783</v>
      </c>
      <c r="H33" s="51">
        <f t="shared" si="5"/>
        <v>2.0998530815253373E-2</v>
      </c>
      <c r="I33" s="51">
        <f t="shared" si="1"/>
        <v>1958.064983985528</v>
      </c>
      <c r="J33" s="23">
        <v>2226</v>
      </c>
      <c r="K33" s="27">
        <f t="shared" si="2"/>
        <v>-267.93501601447201</v>
      </c>
      <c r="L33" s="24">
        <f t="shared" si="3"/>
        <v>267.93501601447201</v>
      </c>
      <c r="M33" s="50">
        <f t="shared" si="6"/>
        <v>0.12036613477739085</v>
      </c>
      <c r="N33" s="28">
        <f t="shared" si="4"/>
        <v>1</v>
      </c>
    </row>
    <row r="34" spans="1:14" ht="15" customHeight="1" x14ac:dyDescent="0.25">
      <c r="A34" s="37">
        <v>26</v>
      </c>
      <c r="B34" s="23">
        <v>2241</v>
      </c>
      <c r="C34" s="51">
        <f t="shared" si="5"/>
        <v>126.48351156928005</v>
      </c>
      <c r="D34" s="51">
        <f t="shared" si="5"/>
        <v>703.50319780545055</v>
      </c>
      <c r="E34" s="51">
        <f t="shared" si="5"/>
        <v>1020.8097033139854</v>
      </c>
      <c r="F34" s="51">
        <f t="shared" si="5"/>
        <v>132.74333095534794</v>
      </c>
      <c r="G34" s="51">
        <f t="shared" si="5"/>
        <v>2.869040122650258</v>
      </c>
      <c r="H34" s="51">
        <f t="shared" si="5"/>
        <v>1.9056619827406269E-2</v>
      </c>
      <c r="I34" s="51">
        <f t="shared" si="1"/>
        <v>1986.4278403865414</v>
      </c>
      <c r="J34" s="23">
        <v>3631</v>
      </c>
      <c r="K34" s="27">
        <f t="shared" si="2"/>
        <v>-1644.5721596134586</v>
      </c>
      <c r="L34" s="24">
        <f t="shared" si="3"/>
        <v>1644.5721596134586</v>
      </c>
      <c r="M34" s="50">
        <f t="shared" si="6"/>
        <v>0.45292540887178701</v>
      </c>
      <c r="N34" s="28">
        <f t="shared" si="4"/>
        <v>1</v>
      </c>
    </row>
    <row r="35" spans="1:14" ht="15" customHeight="1" x14ac:dyDescent="0.25">
      <c r="A35" s="37">
        <v>27</v>
      </c>
      <c r="B35" s="23">
        <v>1469</v>
      </c>
      <c r="C35" s="51">
        <f t="shared" si="5"/>
        <v>82.911324629751178</v>
      </c>
      <c r="D35" s="51">
        <f t="shared" si="5"/>
        <v>706.02358543753451</v>
      </c>
      <c r="E35" s="51">
        <f t="shared" si="5"/>
        <v>711.00064488463181</v>
      </c>
      <c r="F35" s="51">
        <f t="shared" si="5"/>
        <v>186.90167722566775</v>
      </c>
      <c r="G35" s="51">
        <f t="shared" si="5"/>
        <v>4.0958021061282999</v>
      </c>
      <c r="H35" s="51">
        <f t="shared" si="5"/>
        <v>1.3765991224960597E-2</v>
      </c>
      <c r="I35" s="51">
        <f t="shared" si="1"/>
        <v>1690.9468002749386</v>
      </c>
      <c r="J35" s="23">
        <v>2264</v>
      </c>
      <c r="K35" s="27">
        <f t="shared" si="2"/>
        <v>-573.0531997250614</v>
      </c>
      <c r="L35" s="24">
        <f t="shared" si="3"/>
        <v>573.0531997250614</v>
      </c>
      <c r="M35" s="50">
        <f t="shared" si="6"/>
        <v>0.25311537090329567</v>
      </c>
      <c r="N35" s="28">
        <f t="shared" si="4"/>
        <v>1</v>
      </c>
    </row>
    <row r="36" spans="1:14" ht="15" customHeight="1" x14ac:dyDescent="0.25">
      <c r="A36" s="37">
        <v>28</v>
      </c>
      <c r="B36" s="23">
        <v>1366</v>
      </c>
      <c r="C36" s="51">
        <f t="shared" si="5"/>
        <v>77.097936994036843</v>
      </c>
      <c r="D36" s="51">
        <f t="shared" si="5"/>
        <v>462.80617894142716</v>
      </c>
      <c r="E36" s="51">
        <f t="shared" si="5"/>
        <v>713.54789305260181</v>
      </c>
      <c r="F36" s="51">
        <f t="shared" si="5"/>
        <v>130.17824243447166</v>
      </c>
      <c r="G36" s="51">
        <f t="shared" si="5"/>
        <v>5.7668605850888577</v>
      </c>
      <c r="H36" s="51">
        <f t="shared" si="5"/>
        <v>1.9652139197012714E-2</v>
      </c>
      <c r="I36" s="51">
        <f t="shared" si="1"/>
        <v>1389.4167641468232</v>
      </c>
      <c r="J36" s="23">
        <v>2097</v>
      </c>
      <c r="K36" s="27">
        <f t="shared" si="2"/>
        <v>-707.5832358531768</v>
      </c>
      <c r="L36" s="24">
        <f t="shared" si="3"/>
        <v>707.5832358531768</v>
      </c>
      <c r="M36" s="50">
        <f t="shared" si="6"/>
        <v>0.33742643579073761</v>
      </c>
      <c r="N36" s="28">
        <f t="shared" si="4"/>
        <v>1</v>
      </c>
    </row>
    <row r="37" spans="1:14" ht="15" customHeight="1" x14ac:dyDescent="0.25">
      <c r="A37" s="37">
        <v>29</v>
      </c>
      <c r="B37" s="23">
        <v>2161</v>
      </c>
      <c r="C37" s="51">
        <f t="shared" si="5"/>
        <v>121.96825903668639</v>
      </c>
      <c r="D37" s="51">
        <f t="shared" si="5"/>
        <v>430.35618817834546</v>
      </c>
      <c r="E37" s="51">
        <f t="shared" si="5"/>
        <v>467.7384448434949</v>
      </c>
      <c r="F37" s="51">
        <f t="shared" si="5"/>
        <v>130.64462216554006</v>
      </c>
      <c r="G37" s="51">
        <f t="shared" si="5"/>
        <v>4.0166561717103617</v>
      </c>
      <c r="H37" s="51">
        <f t="shared" si="5"/>
        <v>2.7670073897945877E-2</v>
      </c>
      <c r="I37" s="51">
        <f t="shared" si="1"/>
        <v>1154.751840469675</v>
      </c>
      <c r="J37" s="23">
        <v>3118</v>
      </c>
      <c r="K37" s="27">
        <f t="shared" si="2"/>
        <v>-1963.248159530325</v>
      </c>
      <c r="L37" s="24">
        <f t="shared" si="3"/>
        <v>1963.248159530325</v>
      </c>
      <c r="M37" s="50">
        <f t="shared" si="6"/>
        <v>0.62964982666142555</v>
      </c>
      <c r="N37" s="28">
        <f t="shared" si="4"/>
        <v>1</v>
      </c>
    </row>
    <row r="38" spans="1:14" ht="15" customHeight="1" x14ac:dyDescent="0.25">
      <c r="A38" s="37">
        <v>30</v>
      </c>
      <c r="B38" s="23">
        <v>1813</v>
      </c>
      <c r="C38" s="51">
        <f t="shared" si="5"/>
        <v>102.32691051990395</v>
      </c>
      <c r="D38" s="51">
        <f t="shared" si="5"/>
        <v>680.81970911669441</v>
      </c>
      <c r="E38" s="51">
        <f t="shared" si="5"/>
        <v>434.9426246808809</v>
      </c>
      <c r="F38" s="51">
        <f t="shared" si="5"/>
        <v>85.638978117437915</v>
      </c>
      <c r="G38" s="51">
        <f t="shared" si="5"/>
        <v>4.0310463416045321</v>
      </c>
      <c r="H38" s="51">
        <f t="shared" si="5"/>
        <v>1.9272387714944834E-2</v>
      </c>
      <c r="I38" s="51">
        <f t="shared" si="1"/>
        <v>1307.7785411642367</v>
      </c>
      <c r="J38" s="23">
        <v>2930</v>
      </c>
      <c r="K38" s="27">
        <f t="shared" si="2"/>
        <v>-1622.2214588357633</v>
      </c>
      <c r="L38" s="24">
        <f t="shared" si="3"/>
        <v>1622.2214588357633</v>
      </c>
      <c r="M38" s="50">
        <f t="shared" si="6"/>
        <v>0.55365920096783727</v>
      </c>
      <c r="N38" s="28">
        <f t="shared" si="4"/>
        <v>1</v>
      </c>
    </row>
    <row r="39" spans="1:14" ht="15" customHeight="1" x14ac:dyDescent="0.25">
      <c r="A39" s="37">
        <v>31</v>
      </c>
      <c r="B39" s="23">
        <v>3406</v>
      </c>
      <c r="C39" s="51">
        <f t="shared" si="5"/>
        <v>192.2368765751753</v>
      </c>
      <c r="D39" s="51">
        <f t="shared" si="5"/>
        <v>571.1828471210398</v>
      </c>
      <c r="E39" s="51">
        <f t="shared" si="5"/>
        <v>688.07541137290161</v>
      </c>
      <c r="F39" s="51">
        <f t="shared" si="5"/>
        <v>79.634339079932047</v>
      </c>
      <c r="G39" s="51">
        <f t="shared" si="5"/>
        <v>2.6423949468170718</v>
      </c>
      <c r="H39" s="51">
        <f t="shared" si="5"/>
        <v>1.9341433438957178E-2</v>
      </c>
      <c r="I39" s="51">
        <f t="shared" si="1"/>
        <v>1533.7912105293049</v>
      </c>
      <c r="J39" s="23">
        <v>2607</v>
      </c>
      <c r="K39" s="27">
        <f t="shared" si="2"/>
        <v>-1073.2087894706951</v>
      </c>
      <c r="L39" s="24">
        <f t="shared" si="3"/>
        <v>1073.2087894706951</v>
      </c>
      <c r="M39" s="50">
        <f t="shared" si="6"/>
        <v>0.41166428441530306</v>
      </c>
      <c r="N39" s="28">
        <f t="shared" si="4"/>
        <v>1</v>
      </c>
    </row>
    <row r="40" spans="1:14" ht="15" customHeight="1" x14ac:dyDescent="0.25">
      <c r="A40" s="37">
        <v>32</v>
      </c>
      <c r="B40" s="23">
        <v>3129</v>
      </c>
      <c r="C40" s="51">
        <f t="shared" si="5"/>
        <v>176.60281468106973</v>
      </c>
      <c r="D40" s="51">
        <f t="shared" si="5"/>
        <v>1073.055034359769</v>
      </c>
      <c r="E40" s="51">
        <f t="shared" si="5"/>
        <v>577.27011606620579</v>
      </c>
      <c r="F40" s="51">
        <f t="shared" si="5"/>
        <v>125.98082485485591</v>
      </c>
      <c r="G40" s="51">
        <f t="shared" si="5"/>
        <v>2.4571215094296255</v>
      </c>
      <c r="H40" s="51">
        <f t="shared" si="5"/>
        <v>1.2678521071766216E-2</v>
      </c>
      <c r="I40" s="51">
        <f t="shared" si="1"/>
        <v>1955.3785899924021</v>
      </c>
      <c r="J40" s="23">
        <v>2749</v>
      </c>
      <c r="K40" s="27">
        <f t="shared" si="2"/>
        <v>-793.62141000759789</v>
      </c>
      <c r="L40" s="24">
        <f t="shared" si="3"/>
        <v>793.62141000759789</v>
      </c>
      <c r="M40" s="50">
        <f t="shared" si="6"/>
        <v>0.28869458348766747</v>
      </c>
      <c r="N40" s="28">
        <f t="shared" si="4"/>
        <v>1</v>
      </c>
    </row>
    <row r="41" spans="1:14" ht="15" customHeight="1" x14ac:dyDescent="0.25">
      <c r="A41" s="37">
        <v>33</v>
      </c>
      <c r="B41" s="23">
        <v>3147</v>
      </c>
      <c r="C41" s="51">
        <f t="shared" si="5"/>
        <v>177.61874650090331</v>
      </c>
      <c r="D41" s="51">
        <f t="shared" si="5"/>
        <v>985.78661259886007</v>
      </c>
      <c r="E41" s="51">
        <f t="shared" si="5"/>
        <v>1084.4909075132359</v>
      </c>
      <c r="F41" s="51">
        <f t="shared" si="5"/>
        <v>105.6933065533798</v>
      </c>
      <c r="G41" s="51">
        <f t="shared" si="5"/>
        <v>3.8871446426628262</v>
      </c>
      <c r="H41" s="51">
        <f t="shared" si="5"/>
        <v>1.1789557375107319E-2</v>
      </c>
      <c r="I41" s="51">
        <f t="shared" si="1"/>
        <v>2357.4885073664173</v>
      </c>
      <c r="J41" s="23">
        <v>3640</v>
      </c>
      <c r="K41" s="27">
        <f t="shared" ref="K41:K59" si="7">IF($N41=1,$I41-$J41,0)</f>
        <v>-1282.5114926335827</v>
      </c>
      <c r="L41" s="24">
        <f t="shared" si="3"/>
        <v>1282.5114926335827</v>
      </c>
      <c r="M41" s="50">
        <f t="shared" si="6"/>
        <v>0.35233832215208316</v>
      </c>
      <c r="N41" s="28">
        <f t="shared" si="4"/>
        <v>1</v>
      </c>
    </row>
    <row r="42" spans="1:14" ht="15" customHeight="1" x14ac:dyDescent="0.25">
      <c r="A42" s="37">
        <v>34</v>
      </c>
      <c r="B42" s="23">
        <v>2223</v>
      </c>
      <c r="C42" s="51">
        <f t="shared" si="5"/>
        <v>125.46757974944647</v>
      </c>
      <c r="D42" s="51">
        <f t="shared" si="5"/>
        <v>991.45748477104917</v>
      </c>
      <c r="E42" s="51">
        <f t="shared" si="5"/>
        <v>996.29243969727406</v>
      </c>
      <c r="F42" s="51">
        <f t="shared" si="5"/>
        <v>198.56117050237816</v>
      </c>
      <c r="G42" s="51">
        <f t="shared" si="5"/>
        <v>3.2611722522664062</v>
      </c>
      <c r="H42" s="51">
        <f t="shared" si="5"/>
        <v>1.8650976198833762E-2</v>
      </c>
      <c r="I42" s="51">
        <f t="shared" si="1"/>
        <v>2315.058497948613</v>
      </c>
      <c r="J42" s="23">
        <v>3229</v>
      </c>
      <c r="K42" s="27">
        <f t="shared" si="7"/>
        <v>-913.94150205138703</v>
      </c>
      <c r="L42" s="24">
        <f t="shared" si="3"/>
        <v>913.94150205138703</v>
      </c>
      <c r="M42" s="50">
        <f t="shared" si="6"/>
        <v>0.28304165439807588</v>
      </c>
      <c r="N42" s="28">
        <f t="shared" si="4"/>
        <v>1</v>
      </c>
    </row>
    <row r="43" spans="1:14" ht="15" customHeight="1" x14ac:dyDescent="0.25">
      <c r="A43" s="37">
        <v>35</v>
      </c>
      <c r="B43" s="23">
        <v>2480</v>
      </c>
      <c r="C43" s="51">
        <f t="shared" si="5"/>
        <v>139.97282851040362</v>
      </c>
      <c r="D43" s="51">
        <f t="shared" si="5"/>
        <v>700.35271326534553</v>
      </c>
      <c r="E43" s="51">
        <f t="shared" si="5"/>
        <v>1002.0237480752065</v>
      </c>
      <c r="F43" s="51">
        <f t="shared" si="5"/>
        <v>182.41277231413426</v>
      </c>
      <c r="G43" s="51">
        <f t="shared" si="5"/>
        <v>6.1266148324431215</v>
      </c>
      <c r="H43" s="51">
        <f t="shared" si="5"/>
        <v>1.5647487204296904E-2</v>
      </c>
      <c r="I43" s="51">
        <f t="shared" si="1"/>
        <v>2030.9043244847371</v>
      </c>
      <c r="J43" s="23">
        <v>2316</v>
      </c>
      <c r="K43" s="27">
        <f t="shared" si="7"/>
        <v>-285.09567551526288</v>
      </c>
      <c r="L43" s="24">
        <f t="shared" si="3"/>
        <v>285.09567551526288</v>
      </c>
      <c r="M43" s="50">
        <f t="shared" si="6"/>
        <v>0.12309830549018259</v>
      </c>
      <c r="N43" s="28">
        <f t="shared" si="4"/>
        <v>1</v>
      </c>
    </row>
    <row r="44" spans="1:14" ht="15" customHeight="1" x14ac:dyDescent="0.25">
      <c r="A44" s="37">
        <v>36</v>
      </c>
      <c r="B44" s="23">
        <v>1865</v>
      </c>
      <c r="C44" s="51">
        <f t="shared" si="5"/>
        <v>105.26182466608982</v>
      </c>
      <c r="D44" s="51">
        <f t="shared" ref="C44:H59" si="8">IF($A44-D$6+1&gt;=1,INDEX($B$9:$B$60,$A44-D$6+1)*D$7,0)</f>
        <v>781.32016594604443</v>
      </c>
      <c r="E44" s="51">
        <f t="shared" si="8"/>
        <v>707.81658467466923</v>
      </c>
      <c r="F44" s="51">
        <f t="shared" si="8"/>
        <v>183.46212670903819</v>
      </c>
      <c r="G44" s="51">
        <f t="shared" si="8"/>
        <v>5.6283551998574657</v>
      </c>
      <c r="H44" s="51">
        <f t="shared" si="8"/>
        <v>2.9396216998254416E-2</v>
      </c>
      <c r="I44" s="51">
        <f t="shared" si="1"/>
        <v>1783.5184534126972</v>
      </c>
      <c r="J44" s="23">
        <v>3764</v>
      </c>
      <c r="K44" s="27">
        <f t="shared" si="7"/>
        <v>-1980.4815465873028</v>
      </c>
      <c r="L44" s="24">
        <f t="shared" si="3"/>
        <v>1980.4815465873028</v>
      </c>
      <c r="M44" s="50">
        <f t="shared" si="6"/>
        <v>0.52616406657473502</v>
      </c>
      <c r="N44" s="28">
        <f t="shared" si="4"/>
        <v>1</v>
      </c>
    </row>
    <row r="45" spans="1:14" ht="15" customHeight="1" x14ac:dyDescent="0.25">
      <c r="A45" s="37">
        <v>37</v>
      </c>
      <c r="B45" s="23">
        <v>2861</v>
      </c>
      <c r="C45" s="51">
        <f t="shared" si="8"/>
        <v>161.47671869688097</v>
      </c>
      <c r="D45" s="51">
        <f t="shared" si="8"/>
        <v>587.56536672958589</v>
      </c>
      <c r="E45" s="51">
        <f t="shared" si="8"/>
        <v>789.64693207070616</v>
      </c>
      <c r="F45" s="51">
        <f t="shared" si="8"/>
        <v>129.59526777063613</v>
      </c>
      <c r="G45" s="51">
        <f t="shared" si="8"/>
        <v>5.6607330821193491</v>
      </c>
      <c r="H45" s="51">
        <f t="shared" si="8"/>
        <v>2.7005508804327089E-2</v>
      </c>
      <c r="I45" s="51">
        <f t="shared" si="1"/>
        <v>1673.9720238587329</v>
      </c>
      <c r="J45" s="23">
        <v>2059</v>
      </c>
      <c r="K45" s="27">
        <f t="shared" si="7"/>
        <v>-385.02797614126712</v>
      </c>
      <c r="L45" s="24">
        <f t="shared" si="3"/>
        <v>385.02797614126712</v>
      </c>
      <c r="M45" s="50">
        <f t="shared" si="6"/>
        <v>0.18699756004918267</v>
      </c>
      <c r="N45" s="28">
        <f t="shared" si="4"/>
        <v>1</v>
      </c>
    </row>
    <row r="46" spans="1:14" ht="15" customHeight="1" x14ac:dyDescent="0.25">
      <c r="A46" s="37">
        <v>38</v>
      </c>
      <c r="B46" s="23">
        <v>3414</v>
      </c>
      <c r="C46" s="51">
        <f t="shared" si="8"/>
        <v>192.68840182843468</v>
      </c>
      <c r="D46" s="51">
        <f t="shared" si="8"/>
        <v>901.35362692404567</v>
      </c>
      <c r="E46" s="51">
        <f t="shared" si="8"/>
        <v>593.82722915801082</v>
      </c>
      <c r="F46" s="51">
        <f t="shared" si="8"/>
        <v>144.577716631209</v>
      </c>
      <c r="G46" s="51">
        <f t="shared" si="8"/>
        <v>3.9986684593426483</v>
      </c>
      <c r="H46" s="51">
        <f t="shared" si="8"/>
        <v>2.7160861683354857E-2</v>
      </c>
      <c r="I46" s="51">
        <f t="shared" si="1"/>
        <v>1836.4728038627261</v>
      </c>
      <c r="J46" s="23">
        <v>2153</v>
      </c>
      <c r="K46" s="27">
        <f t="shared" si="7"/>
        <v>-316.5271961372739</v>
      </c>
      <c r="L46" s="24">
        <f t="shared" si="3"/>
        <v>316.5271961372739</v>
      </c>
      <c r="M46" s="50">
        <f t="shared" si="6"/>
        <v>0.14701681195414487</v>
      </c>
      <c r="N46" s="28">
        <f t="shared" si="4"/>
        <v>1</v>
      </c>
    </row>
    <row r="47" spans="1:14" ht="15" customHeight="1" x14ac:dyDescent="0.25">
      <c r="A47" s="37">
        <v>39</v>
      </c>
      <c r="B47" s="23">
        <v>4626</v>
      </c>
      <c r="C47" s="51">
        <f t="shared" si="8"/>
        <v>261.09447769722868</v>
      </c>
      <c r="D47" s="51">
        <f t="shared" si="8"/>
        <v>1075.5754219918531</v>
      </c>
      <c r="E47" s="51">
        <f t="shared" si="8"/>
        <v>910.95962607027832</v>
      </c>
      <c r="F47" s="51">
        <f t="shared" si="8"/>
        <v>108.72477480532451</v>
      </c>
      <c r="G47" s="51">
        <f t="shared" si="8"/>
        <v>4.4609526671928776</v>
      </c>
      <c r="H47" s="51">
        <f t="shared" si="8"/>
        <v>1.918608055992941E-2</v>
      </c>
      <c r="I47" s="51">
        <f t="shared" si="1"/>
        <v>2360.8344393124376</v>
      </c>
      <c r="J47" s="23">
        <v>2141</v>
      </c>
      <c r="K47" s="27">
        <f t="shared" si="7"/>
        <v>219.83443931243755</v>
      </c>
      <c r="L47" s="24">
        <f t="shared" si="3"/>
        <v>219.83443931243755</v>
      </c>
      <c r="M47" s="50">
        <f t="shared" si="6"/>
        <v>0.10267839295303015</v>
      </c>
      <c r="N47" s="28">
        <f t="shared" si="4"/>
        <v>1</v>
      </c>
    </row>
    <row r="48" spans="1:14" ht="15" customHeight="1" x14ac:dyDescent="0.25">
      <c r="A48" s="37">
        <v>40</v>
      </c>
      <c r="B48" s="23">
        <v>2053</v>
      </c>
      <c r="C48" s="51">
        <f t="shared" si="8"/>
        <v>115.87266811768494</v>
      </c>
      <c r="D48" s="51">
        <f t="shared" si="8"/>
        <v>1457.4141482525813</v>
      </c>
      <c r="E48" s="51">
        <f t="shared" si="8"/>
        <v>1087.038155681206</v>
      </c>
      <c r="F48" s="51">
        <f t="shared" si="8"/>
        <v>166.78905132334231</v>
      </c>
      <c r="G48" s="51">
        <f t="shared" si="8"/>
        <v>3.3547083565785152</v>
      </c>
      <c r="H48" s="51">
        <f t="shared" si="8"/>
        <v>2.140417444382588E-2</v>
      </c>
      <c r="I48" s="51">
        <f t="shared" si="1"/>
        <v>2830.4901359058372</v>
      </c>
      <c r="J48" s="23">
        <v>1675</v>
      </c>
      <c r="K48" s="27">
        <f t="shared" si="7"/>
        <v>1155.4901359058372</v>
      </c>
      <c r="L48" s="24">
        <f t="shared" si="3"/>
        <v>1155.4901359058372</v>
      </c>
      <c r="M48" s="50">
        <f t="shared" si="6"/>
        <v>0.68984485725721623</v>
      </c>
      <c r="N48" s="28">
        <f t="shared" si="4"/>
        <v>1</v>
      </c>
    </row>
    <row r="49" spans="1:14" ht="15" customHeight="1" x14ac:dyDescent="0.25">
      <c r="A49" s="37">
        <v>41</v>
      </c>
      <c r="B49" s="23">
        <v>2511</v>
      </c>
      <c r="C49" s="51">
        <f t="shared" si="5"/>
        <v>141.72248886678366</v>
      </c>
      <c r="D49" s="51">
        <f t="shared" si="8"/>
        <v>646.7944760835602</v>
      </c>
      <c r="E49" s="51">
        <f t="shared" si="8"/>
        <v>1472.946253128664</v>
      </c>
      <c r="F49" s="51">
        <f t="shared" si="8"/>
        <v>199.02755023344659</v>
      </c>
      <c r="G49" s="51">
        <f t="shared" si="8"/>
        <v>5.1462845084027515</v>
      </c>
      <c r="H49" s="51">
        <f t="shared" si="8"/>
        <v>1.6096284410377124E-2</v>
      </c>
      <c r="I49" s="51">
        <f t="shared" si="1"/>
        <v>2465.6531491052674</v>
      </c>
      <c r="J49" s="23">
        <v>1528</v>
      </c>
      <c r="K49" s="27">
        <f t="shared" si="7"/>
        <v>937.6531491052674</v>
      </c>
      <c r="L49" s="24">
        <f t="shared" si="3"/>
        <v>937.6531491052674</v>
      </c>
      <c r="M49" s="50">
        <f t="shared" si="6"/>
        <v>0.61364734889088179</v>
      </c>
      <c r="N49" s="28">
        <f t="shared" si="4"/>
        <v>1</v>
      </c>
    </row>
    <row r="50" spans="1:14" ht="15" customHeight="1" x14ac:dyDescent="0.25">
      <c r="A50" s="37">
        <v>42</v>
      </c>
      <c r="B50" s="23">
        <v>2666</v>
      </c>
      <c r="C50" s="51">
        <f t="shared" si="5"/>
        <v>150.4707906486839</v>
      </c>
      <c r="D50" s="51">
        <f t="shared" si="8"/>
        <v>791.08666802036998</v>
      </c>
      <c r="E50" s="51">
        <f t="shared" si="8"/>
        <v>653.68756110530637</v>
      </c>
      <c r="F50" s="51">
        <f t="shared" si="8"/>
        <v>269.6840794903116</v>
      </c>
      <c r="G50" s="51">
        <f t="shared" si="8"/>
        <v>6.1410050023372929</v>
      </c>
      <c r="H50" s="51">
        <f t="shared" si="8"/>
        <v>2.4692477049913647E-2</v>
      </c>
      <c r="I50" s="51">
        <f t="shared" si="1"/>
        <v>1871.0947967440591</v>
      </c>
      <c r="J50" s="23">
        <v>2166</v>
      </c>
      <c r="K50" s="27">
        <f t="shared" si="7"/>
        <v>-294.90520325594093</v>
      </c>
      <c r="L50" s="24">
        <f t="shared" si="3"/>
        <v>294.90520325594093</v>
      </c>
      <c r="M50" s="50">
        <f t="shared" si="6"/>
        <v>0.13615198672942794</v>
      </c>
      <c r="N50" s="28">
        <f t="shared" si="4"/>
        <v>1</v>
      </c>
    </row>
    <row r="51" spans="1:14" ht="15" customHeight="1" x14ac:dyDescent="0.25">
      <c r="A51" s="37">
        <v>43</v>
      </c>
      <c r="B51" s="23">
        <v>3132</v>
      </c>
      <c r="C51" s="51">
        <f t="shared" si="5"/>
        <v>176.77213665104199</v>
      </c>
      <c r="D51" s="51">
        <f t="shared" si="8"/>
        <v>839.91917839199778</v>
      </c>
      <c r="E51" s="51">
        <f t="shared" si="8"/>
        <v>799.51751872159002</v>
      </c>
      <c r="F51" s="51">
        <f t="shared" si="8"/>
        <v>119.68469848543229</v>
      </c>
      <c r="G51" s="51">
        <f t="shared" si="8"/>
        <v>8.3211157413041352</v>
      </c>
      <c r="H51" s="51">
        <f t="shared" si="8"/>
        <v>2.9465262722266756E-2</v>
      </c>
      <c r="I51" s="51">
        <f t="shared" si="1"/>
        <v>1944.2441132540885</v>
      </c>
      <c r="J51" s="23">
        <v>1665</v>
      </c>
      <c r="K51" s="27">
        <f t="shared" si="7"/>
        <v>279.24411325408846</v>
      </c>
      <c r="L51" s="24">
        <f t="shared" si="3"/>
        <v>279.24411325408846</v>
      </c>
      <c r="M51" s="50">
        <f t="shared" si="6"/>
        <v>0.16771418213458766</v>
      </c>
      <c r="N51" s="28">
        <f t="shared" si="4"/>
        <v>1</v>
      </c>
    </row>
    <row r="52" spans="1:14" ht="15" customHeight="1" x14ac:dyDescent="0.25">
      <c r="A52" s="37">
        <v>44</v>
      </c>
      <c r="B52" s="23">
        <v>1544</v>
      </c>
      <c r="C52" s="51">
        <f t="shared" si="5"/>
        <v>87.144373879057738</v>
      </c>
      <c r="D52" s="51">
        <f t="shared" si="8"/>
        <v>986.73175796089163</v>
      </c>
      <c r="E52" s="51">
        <f t="shared" si="8"/>
        <v>848.87045197600912</v>
      </c>
      <c r="F52" s="51">
        <f t="shared" si="8"/>
        <v>146.38493808909911</v>
      </c>
      <c r="G52" s="51">
        <f t="shared" si="8"/>
        <v>3.6928773490915234</v>
      </c>
      <c r="H52" s="51">
        <f t="shared" si="8"/>
        <v>3.9925689910136501E-2</v>
      </c>
      <c r="I52" s="51">
        <f t="shared" si="1"/>
        <v>2072.8643249440588</v>
      </c>
      <c r="J52" s="23">
        <v>2443</v>
      </c>
      <c r="K52" s="27">
        <f t="shared" si="7"/>
        <v>-370.13567505594119</v>
      </c>
      <c r="L52" s="24">
        <f t="shared" si="3"/>
        <v>370.13567505594119</v>
      </c>
      <c r="M52" s="50">
        <f t="shared" si="6"/>
        <v>0.15150866764467508</v>
      </c>
      <c r="N52" s="28">
        <f t="shared" si="4"/>
        <v>1</v>
      </c>
    </row>
    <row r="53" spans="1:14" ht="15" customHeight="1" x14ac:dyDescent="0.25">
      <c r="A53" s="37">
        <v>45</v>
      </c>
      <c r="B53" s="23">
        <v>1779</v>
      </c>
      <c r="C53" s="51">
        <f t="shared" si="5"/>
        <v>100.40792819355164</v>
      </c>
      <c r="D53" s="51">
        <f t="shared" si="8"/>
        <v>486.4348129922148</v>
      </c>
      <c r="E53" s="51">
        <f t="shared" si="8"/>
        <v>997.24765776026277</v>
      </c>
      <c r="F53" s="51">
        <f t="shared" si="8"/>
        <v>155.42104537854968</v>
      </c>
      <c r="G53" s="51">
        <f t="shared" si="8"/>
        <v>4.5167145755327889</v>
      </c>
      <c r="H53" s="51">
        <f t="shared" si="8"/>
        <v>1.7718858924667149E-2</v>
      </c>
      <c r="I53" s="51">
        <f t="shared" si="1"/>
        <v>1744.0458777590366</v>
      </c>
      <c r="J53" s="23">
        <v>2723</v>
      </c>
      <c r="K53" s="27">
        <f t="shared" si="7"/>
        <v>-978.95412224096344</v>
      </c>
      <c r="L53" s="24">
        <f t="shared" si="3"/>
        <v>978.95412224096344</v>
      </c>
      <c r="M53" s="50">
        <f t="shared" si="6"/>
        <v>0.35951308198346066</v>
      </c>
      <c r="N53" s="28">
        <f t="shared" si="4"/>
        <v>1</v>
      </c>
    </row>
    <row r="54" spans="1:14" ht="15" customHeight="1" x14ac:dyDescent="0.25">
      <c r="A54" s="37">
        <v>46</v>
      </c>
      <c r="B54" s="23">
        <v>2745</v>
      </c>
      <c r="C54" s="51">
        <f t="shared" si="5"/>
        <v>154.92960252462015</v>
      </c>
      <c r="D54" s="51">
        <f t="shared" si="8"/>
        <v>560.47119968468269</v>
      </c>
      <c r="E54" s="51">
        <f t="shared" si="8"/>
        <v>491.61889641821381</v>
      </c>
      <c r="F54" s="51">
        <f t="shared" si="8"/>
        <v>182.58766471328491</v>
      </c>
      <c r="G54" s="51">
        <f t="shared" si="8"/>
        <v>4.7955241172323442</v>
      </c>
      <c r="H54" s="51">
        <f t="shared" si="8"/>
        <v>2.1671726624373704E-2</v>
      </c>
      <c r="I54" s="51">
        <f t="shared" si="1"/>
        <v>1394.4245591846584</v>
      </c>
      <c r="J54" s="23">
        <v>1715</v>
      </c>
      <c r="K54" s="27">
        <f t="shared" si="7"/>
        <v>-320.57544081534161</v>
      </c>
      <c r="L54" s="24">
        <f t="shared" si="3"/>
        <v>320.57544081534161</v>
      </c>
      <c r="M54" s="50">
        <f t="shared" si="6"/>
        <v>0.18692445528591348</v>
      </c>
      <c r="N54" s="28">
        <f t="shared" si="4"/>
        <v>1</v>
      </c>
    </row>
    <row r="55" spans="1:14" ht="15" customHeight="1" x14ac:dyDescent="0.25">
      <c r="A55" s="37">
        <v>47</v>
      </c>
      <c r="B55" s="23">
        <v>2082</v>
      </c>
      <c r="C55" s="51">
        <f t="shared" si="5"/>
        <v>117.50944716075014</v>
      </c>
      <c r="D55" s="51">
        <f t="shared" si="8"/>
        <v>864.80800625882739</v>
      </c>
      <c r="E55" s="51">
        <f t="shared" si="8"/>
        <v>566.44431135233322</v>
      </c>
      <c r="F55" s="51">
        <f t="shared" si="8"/>
        <v>90.011288096204311</v>
      </c>
      <c r="G55" s="51">
        <f t="shared" si="8"/>
        <v>5.6337515135677796</v>
      </c>
      <c r="H55" s="51">
        <f t="shared" si="8"/>
        <v>2.3009487527112821E-2</v>
      </c>
      <c r="I55" s="51">
        <f t="shared" si="1"/>
        <v>1644.42981386921</v>
      </c>
      <c r="J55" s="23">
        <v>1690</v>
      </c>
      <c r="K55" s="27">
        <f t="shared" si="7"/>
        <v>-45.570186130790034</v>
      </c>
      <c r="L55" s="24">
        <f t="shared" si="3"/>
        <v>45.570186130790034</v>
      </c>
      <c r="M55" s="50">
        <f t="shared" si="6"/>
        <v>2.6964607177982269E-2</v>
      </c>
      <c r="N55" s="28">
        <f t="shared" si="4"/>
        <v>1</v>
      </c>
    </row>
    <row r="56" spans="1:14" ht="15" customHeight="1" x14ac:dyDescent="0.25">
      <c r="A56" s="37">
        <v>48</v>
      </c>
      <c r="B56" s="23">
        <v>2017</v>
      </c>
      <c r="C56" s="51">
        <f t="shared" si="5"/>
        <v>113.84080447801779</v>
      </c>
      <c r="D56" s="51">
        <f t="shared" si="8"/>
        <v>655.9308812498648</v>
      </c>
      <c r="E56" s="51">
        <f t="shared" si="8"/>
        <v>874.02452763471308</v>
      </c>
      <c r="F56" s="51">
        <f t="shared" si="8"/>
        <v>103.71119269633904</v>
      </c>
      <c r="G56" s="51">
        <f t="shared" si="8"/>
        <v>2.7773027895749207</v>
      </c>
      <c r="H56" s="51">
        <f t="shared" si="8"/>
        <v>2.7031400950831716E-2</v>
      </c>
      <c r="I56" s="51">
        <f t="shared" si="1"/>
        <v>1750.3117402494604</v>
      </c>
      <c r="J56" s="23">
        <v>2268</v>
      </c>
      <c r="K56" s="27">
        <f t="shared" si="7"/>
        <v>-517.6882597505396</v>
      </c>
      <c r="L56" s="24">
        <f t="shared" si="3"/>
        <v>517.6882597505396</v>
      </c>
      <c r="M56" s="50">
        <f t="shared" si="6"/>
        <v>0.22825761011928553</v>
      </c>
      <c r="N56" s="28">
        <f t="shared" si="4"/>
        <v>1</v>
      </c>
    </row>
    <row r="57" spans="1:14" ht="15" customHeight="1" x14ac:dyDescent="0.25">
      <c r="A57" s="37">
        <v>49</v>
      </c>
      <c r="B57" s="23">
        <v>1765</v>
      </c>
      <c r="C57" s="51">
        <f t="shared" si="5"/>
        <v>99.617759000347746</v>
      </c>
      <c r="D57" s="51">
        <f t="shared" si="8"/>
        <v>635.45273173918213</v>
      </c>
      <c r="E57" s="51">
        <f t="shared" si="8"/>
        <v>662.92133571419765</v>
      </c>
      <c r="F57" s="51">
        <f t="shared" si="8"/>
        <v>160.02654522285027</v>
      </c>
      <c r="G57" s="51">
        <f t="shared" si="8"/>
        <v>3.2000140302161815</v>
      </c>
      <c r="H57" s="51">
        <f t="shared" si="8"/>
        <v>1.3325824734381918E-2</v>
      </c>
      <c r="I57" s="51">
        <f t="shared" si="1"/>
        <v>1561.2317115315284</v>
      </c>
      <c r="J57" s="23">
        <v>2619</v>
      </c>
      <c r="K57" s="27">
        <f t="shared" si="7"/>
        <v>-1057.7682884684716</v>
      </c>
      <c r="L57" s="24">
        <f t="shared" si="3"/>
        <v>1057.7682884684716</v>
      </c>
      <c r="M57" s="50">
        <f t="shared" si="6"/>
        <v>0.40388250800628928</v>
      </c>
      <c r="N57" s="28">
        <f t="shared" si="4"/>
        <v>1</v>
      </c>
    </row>
    <row r="58" spans="1:14" ht="15" customHeight="1" x14ac:dyDescent="0.25">
      <c r="A58" s="37">
        <v>50</v>
      </c>
      <c r="B58" s="23">
        <v>1866</v>
      </c>
      <c r="C58" s="51">
        <f t="shared" si="5"/>
        <v>105.31826532274725</v>
      </c>
      <c r="D58" s="51">
        <f t="shared" si="8"/>
        <v>556.06052132853563</v>
      </c>
      <c r="E58" s="51">
        <f t="shared" si="8"/>
        <v>642.22494434944122</v>
      </c>
      <c r="F58" s="51">
        <f t="shared" si="8"/>
        <v>121.3753250105553</v>
      </c>
      <c r="G58" s="51">
        <f t="shared" si="8"/>
        <v>4.9376270449372779</v>
      </c>
      <c r="H58" s="51">
        <f t="shared" si="8"/>
        <v>1.5354042877244452E-2</v>
      </c>
      <c r="I58" s="51">
        <f t="shared" si="1"/>
        <v>1429.932037099094</v>
      </c>
      <c r="J58" s="23">
        <v>2188</v>
      </c>
      <c r="K58" s="27">
        <f t="shared" si="7"/>
        <v>-758.06796290090597</v>
      </c>
      <c r="L58" s="24">
        <f t="shared" si="3"/>
        <v>758.06796290090597</v>
      </c>
      <c r="M58" s="50">
        <f t="shared" si="6"/>
        <v>0.34646616220333909</v>
      </c>
      <c r="N58" s="28">
        <f t="shared" si="4"/>
        <v>1</v>
      </c>
    </row>
    <row r="59" spans="1:14" ht="15" customHeight="1" x14ac:dyDescent="0.25">
      <c r="A59" s="37">
        <v>51</v>
      </c>
      <c r="B59" s="23">
        <v>1622</v>
      </c>
      <c r="C59" s="51">
        <f t="shared" si="5"/>
        <v>91.546745098336572</v>
      </c>
      <c r="D59" s="51">
        <f t="shared" si="8"/>
        <v>587.88041518359637</v>
      </c>
      <c r="E59" s="51">
        <f t="shared" si="8"/>
        <v>561.98662705838558</v>
      </c>
      <c r="F59" s="51">
        <f t="shared" si="8"/>
        <v>117.58598969562442</v>
      </c>
      <c r="G59" s="51">
        <f t="shared" si="8"/>
        <v>3.7450417149578921</v>
      </c>
      <c r="H59" s="51">
        <f t="shared" si="8"/>
        <v>2.3691314051734694E-2</v>
      </c>
      <c r="I59" s="51">
        <f t="shared" si="1"/>
        <v>1362.7685100649526</v>
      </c>
      <c r="J59" s="23">
        <v>1131</v>
      </c>
      <c r="K59" s="27">
        <f t="shared" si="7"/>
        <v>231.76851006495258</v>
      </c>
      <c r="L59" s="24">
        <f t="shared" si="3"/>
        <v>231.76851006495258</v>
      </c>
      <c r="M59" s="50">
        <f t="shared" si="6"/>
        <v>0.20492352790888821</v>
      </c>
      <c r="N59" s="28">
        <f t="shared" si="4"/>
        <v>1</v>
      </c>
    </row>
    <row r="60" spans="1:14" ht="15" customHeight="1" x14ac:dyDescent="0.25">
      <c r="A60" s="37"/>
      <c r="B60" s="23"/>
      <c r="C60" s="24"/>
      <c r="D60" s="24"/>
      <c r="E60" s="24"/>
      <c r="F60" s="24"/>
      <c r="G60" s="24"/>
      <c r="H60" s="24"/>
      <c r="I60" s="25"/>
      <c r="J60" s="23"/>
      <c r="K60" s="27"/>
      <c r="L60" s="24"/>
      <c r="M60" s="50"/>
      <c r="N60" s="28"/>
    </row>
    <row r="61" spans="1:14" ht="15" customHeight="1" x14ac:dyDescent="0.25">
      <c r="A61" s="21"/>
      <c r="B61" s="43"/>
      <c r="C61" s="44"/>
      <c r="D61" s="44"/>
      <c r="E61" s="44"/>
      <c r="F61" s="44"/>
      <c r="G61" s="44"/>
      <c r="H61" s="44"/>
      <c r="I61" s="45"/>
      <c r="J61" s="43"/>
      <c r="K61" s="46"/>
      <c r="L61" s="44"/>
      <c r="M61" s="44"/>
      <c r="N61" s="47"/>
    </row>
    <row r="62" spans="1:14" ht="15" customHeight="1" x14ac:dyDescent="0.25">
      <c r="A62" s="21"/>
      <c r="B62" s="43"/>
      <c r="C62" s="44"/>
      <c r="D62" s="44"/>
      <c r="E62" s="44"/>
      <c r="F62" s="44"/>
      <c r="G62" s="44"/>
      <c r="H62" s="44"/>
      <c r="I62" s="45"/>
      <c r="J62" s="43"/>
      <c r="K62" s="46"/>
      <c r="L62" s="44"/>
      <c r="M62" s="44"/>
      <c r="N62" s="47"/>
    </row>
    <row r="63" spans="1:14" ht="15" customHeight="1" x14ac:dyDescent="0.25">
      <c r="A63" s="2" t="s">
        <v>75</v>
      </c>
    </row>
    <row r="64" spans="1:14" ht="26.25" x14ac:dyDescent="0.25">
      <c r="A64" s="48" t="s">
        <v>76</v>
      </c>
      <c r="B64" s="29">
        <v>51</v>
      </c>
      <c r="C64" s="5" t="s">
        <v>77</v>
      </c>
    </row>
    <row r="65" spans="1:3" ht="39" x14ac:dyDescent="0.25">
      <c r="A65" s="49" t="s">
        <v>78</v>
      </c>
      <c r="B65" s="30">
        <f>IFERROR(SQRT(SUMPRODUCT($N$14:$N$59,$K$14:$K$59,$K$14:$K$59)/$B$64),"")</f>
        <v>750.25076762554863</v>
      </c>
      <c r="C65" s="5" t="s">
        <v>79</v>
      </c>
    </row>
    <row r="66" spans="1:3" ht="26.25" x14ac:dyDescent="0.25">
      <c r="A66" s="48" t="s">
        <v>80</v>
      </c>
      <c r="B66" s="31">
        <f>IFERROR(SUM($L$14:$L$59)/$B$64,"")</f>
        <v>573.54304209742361</v>
      </c>
      <c r="C66" s="5"/>
    </row>
    <row r="67" spans="1:3" x14ac:dyDescent="0.25">
      <c r="A67" s="48" t="s">
        <v>81</v>
      </c>
      <c r="B67" s="31">
        <f>IFERROR(SUM($K$14:$K$59)/$B$64,"")</f>
        <v>-462.79832258202805</v>
      </c>
      <c r="C67" s="5" t="s">
        <v>82</v>
      </c>
    </row>
    <row r="68" spans="1:3" ht="26.25" x14ac:dyDescent="0.25">
      <c r="A68" s="48" t="s">
        <v>83</v>
      </c>
      <c r="B68" s="32">
        <f>IFERROR($B$65/(SUMPRODUCT($N$14:$N$59,$J$14:$J$59)/$B$64),"")</f>
        <v>0.38378692801162495</v>
      </c>
      <c r="C68" s="5"/>
    </row>
    <row r="69" spans="1:3" ht="26.25" x14ac:dyDescent="0.25">
      <c r="A69" s="48" t="s">
        <v>84</v>
      </c>
      <c r="B69" s="24">
        <f>SUM($B$9:$B$59)</f>
        <v>109052</v>
      </c>
      <c r="C69" s="5"/>
    </row>
    <row r="70" spans="1:3" ht="26.25" x14ac:dyDescent="0.25">
      <c r="A70" s="48" t="s">
        <v>85</v>
      </c>
      <c r="B70" s="24">
        <f>SUM($J$9:$J$59)</f>
        <v>106813</v>
      </c>
      <c r="C70" s="5"/>
    </row>
    <row r="71" spans="1:3" x14ac:dyDescent="0.25">
      <c r="A71" s="53" t="s">
        <v>159</v>
      </c>
      <c r="B71" s="54">
        <f>AVERAGE(M14:M59)</f>
        <v>0.27732305681046532</v>
      </c>
    </row>
  </sheetData>
  <pageMargins left="0.75" right="0.75" top="1" bottom="1" header="0.511811023622047" footer="0.511811023622047"/>
  <pageSetup paperSize="9" orientation="portrait" horizontalDpi="300" verticalDpi="30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1F3864"/>
  </sheetPr>
  <dimension ref="A1:E51"/>
  <sheetViews>
    <sheetView showGridLines="0" zoomScaleNormal="100" workbookViewId="0">
      <selection activeCell="J23" sqref="J23"/>
    </sheetView>
  </sheetViews>
  <sheetFormatPr defaultColWidth="8.7109375" defaultRowHeight="15" x14ac:dyDescent="0.25"/>
  <cols>
    <col min="1" max="1" width="42" customWidth="1"/>
    <col min="2" max="2" width="16" customWidth="1"/>
    <col min="3" max="3" width="18" customWidth="1"/>
    <col min="4" max="4" width="16" customWidth="1"/>
    <col min="5" max="5" width="46" customWidth="1"/>
  </cols>
  <sheetData>
    <row r="1" spans="1:3" ht="17.25" customHeight="1" x14ac:dyDescent="0.25">
      <c r="A1" s="1" t="s">
        <v>86</v>
      </c>
    </row>
    <row r="2" spans="1:3" ht="15" customHeight="1" x14ac:dyDescent="0.25">
      <c r="A2" s="5" t="s">
        <v>87</v>
      </c>
    </row>
    <row r="4" spans="1:3" ht="15" customHeight="1" x14ac:dyDescent="0.25">
      <c r="A4" s="33" t="s">
        <v>88</v>
      </c>
    </row>
    <row r="5" spans="1:3" ht="15" customHeight="1" x14ac:dyDescent="0.25">
      <c r="A5" s="3" t="s">
        <v>35</v>
      </c>
      <c r="B5" s="34">
        <v>2.0062622672930845</v>
      </c>
      <c r="C5" s="5" t="s">
        <v>89</v>
      </c>
    </row>
    <row r="6" spans="1:3" ht="15" customHeight="1" x14ac:dyDescent="0.25">
      <c r="A6" s="3" t="s">
        <v>37</v>
      </c>
      <c r="B6" s="34">
        <v>0.24020010374480588</v>
      </c>
      <c r="C6" s="5" t="s">
        <v>90</v>
      </c>
    </row>
    <row r="7" spans="1:3" ht="15" customHeight="1" x14ac:dyDescent="0.25">
      <c r="A7" s="3" t="s">
        <v>40</v>
      </c>
      <c r="B7" s="35">
        <v>0.75</v>
      </c>
      <c r="C7" s="5" t="s">
        <v>41</v>
      </c>
    </row>
    <row r="8" spans="1:3" ht="15" customHeight="1" x14ac:dyDescent="0.25">
      <c r="A8" s="3" t="s">
        <v>91</v>
      </c>
      <c r="B8" s="7">
        <f>SQRT(B6)</f>
        <v>0.49010213603371072</v>
      </c>
      <c r="C8" s="5" t="s">
        <v>92</v>
      </c>
    </row>
    <row r="9" spans="1:3" ht="15" customHeight="1" x14ac:dyDescent="0.25">
      <c r="A9" s="5" t="s">
        <v>93</v>
      </c>
      <c r="B9" s="4" t="s">
        <v>94</v>
      </c>
    </row>
    <row r="11" spans="1:3" ht="15" customHeight="1" x14ac:dyDescent="0.25">
      <c r="A11" s="33" t="s">
        <v>95</v>
      </c>
    </row>
    <row r="12" spans="1:3" ht="15" customHeight="1" x14ac:dyDescent="0.25">
      <c r="A12" s="4" t="s">
        <v>96</v>
      </c>
      <c r="B12" s="52">
        <f>'2_Issues_Returns'!$B$65</f>
        <v>750.25076762554863</v>
      </c>
      <c r="C12" s="5" t="s">
        <v>97</v>
      </c>
    </row>
    <row r="13" spans="1:3" ht="15" customHeight="1" x14ac:dyDescent="0.25">
      <c r="A13" s="3" t="s">
        <v>98</v>
      </c>
      <c r="B13" s="36">
        <f>'2_Issues_Returns'!$B$66</f>
        <v>573.54304209742361</v>
      </c>
    </row>
    <row r="14" spans="1:3" ht="15" customHeight="1" x14ac:dyDescent="0.25">
      <c r="A14" s="3" t="s">
        <v>99</v>
      </c>
      <c r="B14" s="36">
        <f>'2_Issues_Returns'!$B$67</f>
        <v>-462.79832258202805</v>
      </c>
    </row>
    <row r="15" spans="1:3" ht="15" customHeight="1" x14ac:dyDescent="0.25">
      <c r="A15" s="3" t="s">
        <v>100</v>
      </c>
      <c r="B15" s="8">
        <f>'2_Issues_Returns'!$B$68</f>
        <v>0.38378692801162495</v>
      </c>
    </row>
    <row r="17" spans="1:5" ht="15" customHeight="1" x14ac:dyDescent="0.25">
      <c r="A17" s="33" t="s">
        <v>101</v>
      </c>
    </row>
    <row r="18" spans="1:5" ht="15" customHeight="1" x14ac:dyDescent="0.25">
      <c r="A18" s="10" t="s">
        <v>102</v>
      </c>
      <c r="B18" s="10" t="s">
        <v>103</v>
      </c>
      <c r="C18" s="10" t="s">
        <v>104</v>
      </c>
      <c r="D18" s="10" t="s">
        <v>105</v>
      </c>
      <c r="E18" s="10" t="s">
        <v>106</v>
      </c>
    </row>
    <row r="19" spans="1:5" ht="15" customHeight="1" x14ac:dyDescent="0.25">
      <c r="A19" s="14" t="s">
        <v>107</v>
      </c>
      <c r="B19" s="37" t="s">
        <v>108</v>
      </c>
      <c r="C19" s="14" t="s">
        <v>109</v>
      </c>
      <c r="D19" s="38">
        <v>0.01</v>
      </c>
      <c r="E19" s="5" t="s">
        <v>110</v>
      </c>
    </row>
    <row r="20" spans="1:5" ht="15" customHeight="1" x14ac:dyDescent="0.25">
      <c r="A20" s="14" t="s">
        <v>107</v>
      </c>
      <c r="B20" s="37" t="s">
        <v>111</v>
      </c>
      <c r="C20" s="14" t="s">
        <v>112</v>
      </c>
      <c r="D20" s="38">
        <v>6</v>
      </c>
      <c r="E20" s="5" t="s">
        <v>113</v>
      </c>
    </row>
    <row r="21" spans="1:5" ht="15" customHeight="1" x14ac:dyDescent="0.25">
      <c r="A21" s="14" t="s">
        <v>114</v>
      </c>
      <c r="B21" s="37" t="s">
        <v>108</v>
      </c>
      <c r="C21" s="14" t="s">
        <v>115</v>
      </c>
      <c r="D21" s="38">
        <v>0.01</v>
      </c>
      <c r="E21" s="5" t="s">
        <v>116</v>
      </c>
    </row>
    <row r="22" spans="1:5" ht="15" customHeight="1" x14ac:dyDescent="0.25">
      <c r="A22" s="14" t="s">
        <v>114</v>
      </c>
      <c r="B22" s="37" t="s">
        <v>111</v>
      </c>
      <c r="C22" s="14" t="s">
        <v>117</v>
      </c>
      <c r="D22" s="38">
        <v>20</v>
      </c>
      <c r="E22" s="5" t="s">
        <v>118</v>
      </c>
    </row>
    <row r="23" spans="1:5" ht="15" customHeight="1" x14ac:dyDescent="0.25">
      <c r="A23" s="14" t="s">
        <v>119</v>
      </c>
      <c r="B23" s="37" t="s">
        <v>108</v>
      </c>
      <c r="C23" s="14" t="s">
        <v>120</v>
      </c>
      <c r="D23" s="39">
        <v>0.75</v>
      </c>
      <c r="E23" s="5" t="s">
        <v>121</v>
      </c>
    </row>
    <row r="24" spans="1:5" ht="15" customHeight="1" x14ac:dyDescent="0.25">
      <c r="A24" s="14" t="s">
        <v>119</v>
      </c>
      <c r="B24" s="37" t="s">
        <v>111</v>
      </c>
      <c r="C24" s="14" t="s">
        <v>122</v>
      </c>
      <c r="D24" s="39">
        <v>1</v>
      </c>
      <c r="E24" s="5" t="s">
        <v>123</v>
      </c>
    </row>
    <row r="26" spans="1:5" ht="15" customHeight="1" x14ac:dyDescent="0.25">
      <c r="A26" s="33" t="s">
        <v>124</v>
      </c>
    </row>
    <row r="27" spans="1:5" ht="15" customHeight="1" x14ac:dyDescent="0.25">
      <c r="A27" s="3" t="s">
        <v>125</v>
      </c>
      <c r="B27" s="4" t="s">
        <v>126</v>
      </c>
    </row>
    <row r="28" spans="1:5" ht="15" customHeight="1" x14ac:dyDescent="0.25">
      <c r="A28" s="3" t="s">
        <v>127</v>
      </c>
      <c r="B28" s="4" t="s">
        <v>128</v>
      </c>
    </row>
    <row r="29" spans="1:5" ht="15" customHeight="1" x14ac:dyDescent="0.25">
      <c r="A29" s="3" t="s">
        <v>129</v>
      </c>
      <c r="B29" s="4" t="s">
        <v>94</v>
      </c>
    </row>
    <row r="30" spans="1:5" ht="15" customHeight="1" x14ac:dyDescent="0.25">
      <c r="A30" s="3" t="s">
        <v>130</v>
      </c>
      <c r="B30" s="4" t="s">
        <v>131</v>
      </c>
    </row>
    <row r="31" spans="1:5" ht="15" customHeight="1" x14ac:dyDescent="0.25">
      <c r="A31" s="3" t="s">
        <v>132</v>
      </c>
      <c r="B31" s="4" t="s">
        <v>133</v>
      </c>
    </row>
    <row r="32" spans="1:5" ht="15" customHeight="1" x14ac:dyDescent="0.25">
      <c r="A32" s="3" t="s">
        <v>134</v>
      </c>
      <c r="B32" s="4" t="s">
        <v>135</v>
      </c>
    </row>
    <row r="33" spans="1:5" ht="15" customHeight="1" x14ac:dyDescent="0.25">
      <c r="A33" s="3" t="s">
        <v>136</v>
      </c>
      <c r="B33" s="4" t="s">
        <v>137</v>
      </c>
    </row>
    <row r="34" spans="1:5" ht="15" customHeight="1" x14ac:dyDescent="0.25">
      <c r="A34" s="3" t="s">
        <v>138</v>
      </c>
      <c r="B34" s="4" t="s">
        <v>139</v>
      </c>
    </row>
    <row r="35" spans="1:5" ht="15" customHeight="1" x14ac:dyDescent="0.25">
      <c r="A35" s="3" t="s">
        <v>140</v>
      </c>
    </row>
    <row r="37" spans="1:5" ht="15" customHeight="1" x14ac:dyDescent="0.25">
      <c r="A37" s="33" t="s">
        <v>141</v>
      </c>
    </row>
    <row r="38" spans="1:5" ht="23.25" customHeight="1" x14ac:dyDescent="0.25">
      <c r="A38" s="11" t="s">
        <v>142</v>
      </c>
      <c r="B38" s="11" t="s">
        <v>143</v>
      </c>
      <c r="C38" s="11" t="s">
        <v>144</v>
      </c>
      <c r="D38" s="11" t="s">
        <v>145</v>
      </c>
    </row>
    <row r="39" spans="1:5" ht="15" customHeight="1" x14ac:dyDescent="0.25">
      <c r="A39" s="14" t="s">
        <v>146</v>
      </c>
      <c r="B39" s="7">
        <v>3</v>
      </c>
      <c r="C39" s="40"/>
      <c r="D39" s="7">
        <v>2.4</v>
      </c>
    </row>
    <row r="40" spans="1:5" ht="15" customHeight="1" x14ac:dyDescent="0.25">
      <c r="A40" s="14" t="s">
        <v>147</v>
      </c>
      <c r="B40" s="7">
        <v>2</v>
      </c>
      <c r="C40" s="40"/>
      <c r="D40" s="7">
        <v>1.21</v>
      </c>
    </row>
    <row r="41" spans="1:5" ht="15" customHeight="1" x14ac:dyDescent="0.25">
      <c r="A41" s="14" t="s">
        <v>40</v>
      </c>
      <c r="B41" s="32">
        <v>1</v>
      </c>
      <c r="C41" s="41"/>
      <c r="D41" s="32">
        <v>0.92</v>
      </c>
    </row>
    <row r="42" spans="1:5" ht="15" customHeight="1" x14ac:dyDescent="0.25">
      <c r="A42" s="14" t="s">
        <v>148</v>
      </c>
      <c r="B42" s="14"/>
      <c r="C42" s="42"/>
      <c r="D42" s="14"/>
      <c r="E42" s="5" t="s">
        <v>149</v>
      </c>
    </row>
    <row r="43" spans="1:5" ht="15" customHeight="1" x14ac:dyDescent="0.25">
      <c r="D43" s="5"/>
    </row>
    <row r="44" spans="1:5" x14ac:dyDescent="0.25">
      <c r="A44" s="5" t="s">
        <v>150</v>
      </c>
    </row>
    <row r="45" spans="1:5" ht="15" customHeight="1" x14ac:dyDescent="0.25">
      <c r="A45" s="33" t="s">
        <v>151</v>
      </c>
    </row>
    <row r="46" spans="1:5" ht="15" customHeight="1" x14ac:dyDescent="0.25">
      <c r="A46" s="3" t="s">
        <v>152</v>
      </c>
    </row>
    <row r="47" spans="1:5" ht="15" customHeight="1" x14ac:dyDescent="0.25">
      <c r="A47" s="3" t="s">
        <v>153</v>
      </c>
    </row>
    <row r="48" spans="1:5" ht="15" customHeight="1" x14ac:dyDescent="0.25">
      <c r="A48" s="3" t="s">
        <v>154</v>
      </c>
    </row>
    <row r="49" spans="1:1" ht="15" customHeight="1" x14ac:dyDescent="0.25">
      <c r="A49" s="3" t="s">
        <v>155</v>
      </c>
    </row>
    <row r="50" spans="1:1" ht="15" customHeight="1" x14ac:dyDescent="0.25">
      <c r="A50" s="3" t="s">
        <v>156</v>
      </c>
    </row>
    <row r="51" spans="1:1" ht="15" customHeight="1" x14ac:dyDescent="0.25">
      <c r="A51" s="3" t="s">
        <v>157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Instructions</vt:lpstr>
      <vt:lpstr>1_Normal_Model</vt:lpstr>
      <vt:lpstr>2_Issues_Returns</vt:lpstr>
      <vt:lpstr>3_Solver_Fit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Norman Li</cp:lastModifiedBy>
  <cp:revision>2</cp:revision>
  <dcterms:created xsi:type="dcterms:W3CDTF">2026-07-26T23:15:15Z</dcterms:created>
  <dcterms:modified xsi:type="dcterms:W3CDTF">2026-07-27T03:52:02Z</dcterms:modified>
  <dc:language>en-US</dc:language>
</cp:coreProperties>
</file>